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95" windowWidth="11340" windowHeight="6090"/>
  </bookViews>
  <sheets>
    <sheet name="SECTION71" sheetId="1" r:id="rId1"/>
    <sheet name="Sheet1" sheetId="2" r:id="rId2"/>
  </sheets>
  <definedNames>
    <definedName name="_xlnm.Print_Area" localSheetId="0">SECTION71!$A$39:$I$64</definedName>
  </definedNames>
  <calcPr calcId="145621"/>
</workbook>
</file>

<file path=xl/calcChain.xml><?xml version="1.0" encoding="utf-8"?>
<calcChain xmlns="http://schemas.openxmlformats.org/spreadsheetml/2006/main">
  <c r="H97" i="1" l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G126" i="1"/>
  <c r="H126" i="1"/>
  <c r="H125" i="1"/>
  <c r="H127" i="1"/>
  <c r="G125" i="1"/>
  <c r="I117" i="1"/>
  <c r="I116" i="1"/>
  <c r="J116" i="1"/>
  <c r="I115" i="1"/>
  <c r="I114" i="1"/>
  <c r="K114" i="1"/>
  <c r="H117" i="1"/>
  <c r="H116" i="1"/>
  <c r="H115" i="1"/>
  <c r="H114" i="1"/>
  <c r="I97" i="1"/>
  <c r="I96" i="1"/>
  <c r="J96" i="1"/>
  <c r="I95" i="1"/>
  <c r="K95" i="1"/>
  <c r="I94" i="1"/>
  <c r="I93" i="1"/>
  <c r="I92" i="1"/>
  <c r="K92" i="1"/>
  <c r="I91" i="1"/>
  <c r="I90" i="1"/>
  <c r="J90" i="1"/>
  <c r="I89" i="1"/>
  <c r="I88" i="1"/>
  <c r="J88" i="1"/>
  <c r="K88" i="1"/>
  <c r="I87" i="1"/>
  <c r="J87" i="1"/>
  <c r="K87" i="1"/>
  <c r="I86" i="1"/>
  <c r="K86" i="1"/>
  <c r="I85" i="1"/>
  <c r="I84" i="1"/>
  <c r="J84" i="1"/>
  <c r="I83" i="1"/>
  <c r="J83" i="1"/>
  <c r="I82" i="1"/>
  <c r="I81" i="1"/>
  <c r="I80" i="1"/>
  <c r="J80" i="1"/>
  <c r="I79" i="1"/>
  <c r="I78" i="1"/>
  <c r="J78" i="1"/>
  <c r="I77" i="1"/>
  <c r="I63" i="1"/>
  <c r="I62" i="1"/>
  <c r="I61" i="1"/>
  <c r="I60" i="1"/>
  <c r="I59" i="1"/>
  <c r="I58" i="1"/>
  <c r="J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H63" i="1"/>
  <c r="H61" i="1"/>
  <c r="H60" i="1"/>
  <c r="H58" i="1"/>
  <c r="H50" i="1"/>
  <c r="H47" i="1"/>
  <c r="F117" i="1"/>
  <c r="F116" i="1"/>
  <c r="F114" i="1"/>
  <c r="F115" i="1"/>
  <c r="F97" i="1"/>
  <c r="F96" i="1"/>
  <c r="G96" i="1"/>
  <c r="F95" i="1"/>
  <c r="G95" i="1"/>
  <c r="F94" i="1"/>
  <c r="F93" i="1"/>
  <c r="F92" i="1"/>
  <c r="G92" i="1"/>
  <c r="F91" i="1"/>
  <c r="G91" i="1"/>
  <c r="F90" i="1"/>
  <c r="F89" i="1"/>
  <c r="F88" i="1"/>
  <c r="G88" i="1"/>
  <c r="F87" i="1"/>
  <c r="G87" i="1"/>
  <c r="F86" i="1"/>
  <c r="F85" i="1"/>
  <c r="F84" i="1"/>
  <c r="G84" i="1"/>
  <c r="F83" i="1"/>
  <c r="G83" i="1"/>
  <c r="F82" i="1"/>
  <c r="G82" i="1"/>
  <c r="F81" i="1"/>
  <c r="F79" i="1"/>
  <c r="F78" i="1"/>
  <c r="F77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G45" i="1"/>
  <c r="F44" i="1"/>
  <c r="F43" i="1"/>
  <c r="F42" i="1"/>
  <c r="G42" i="1"/>
  <c r="J94" i="1"/>
  <c r="J60" i="1"/>
  <c r="U80" i="1"/>
  <c r="F80" i="1"/>
  <c r="F99" i="1"/>
  <c r="K91" i="1"/>
  <c r="K84" i="1"/>
  <c r="K83" i="1"/>
  <c r="K79" i="1"/>
  <c r="K77" i="1"/>
  <c r="G115" i="1"/>
  <c r="E117" i="1"/>
  <c r="K117" i="1"/>
  <c r="E116" i="1"/>
  <c r="G116" i="1"/>
  <c r="E115" i="1"/>
  <c r="K115" i="1"/>
  <c r="E114" i="1"/>
  <c r="D118" i="1"/>
  <c r="D99" i="1"/>
  <c r="K97" i="1"/>
  <c r="K93" i="1"/>
  <c r="K90" i="1"/>
  <c r="K89" i="1"/>
  <c r="K85" i="1"/>
  <c r="K81" i="1"/>
  <c r="E97" i="1"/>
  <c r="E96" i="1"/>
  <c r="E95" i="1"/>
  <c r="E94" i="1"/>
  <c r="E93" i="1"/>
  <c r="E92" i="1"/>
  <c r="E91" i="1"/>
  <c r="E90" i="1"/>
  <c r="E89" i="1"/>
  <c r="G89" i="1"/>
  <c r="E88" i="1"/>
  <c r="E87" i="1"/>
  <c r="E86" i="1"/>
  <c r="E85" i="1"/>
  <c r="E84" i="1"/>
  <c r="E83" i="1"/>
  <c r="E82" i="1"/>
  <c r="E81" i="1"/>
  <c r="E80" i="1"/>
  <c r="E79" i="1"/>
  <c r="E78" i="1"/>
  <c r="G78" i="1"/>
  <c r="E77" i="1"/>
  <c r="G97" i="1"/>
  <c r="G90" i="1"/>
  <c r="G86" i="1"/>
  <c r="G81" i="1"/>
  <c r="D62" i="1"/>
  <c r="E62" i="1"/>
  <c r="D59" i="1"/>
  <c r="H59" i="1"/>
  <c r="J59" i="1"/>
  <c r="D51" i="1"/>
  <c r="H51" i="1"/>
  <c r="J51" i="1"/>
  <c r="D54" i="1"/>
  <c r="H54" i="1"/>
  <c r="J54" i="1"/>
  <c r="D53" i="1"/>
  <c r="H53" i="1"/>
  <c r="J53" i="1"/>
  <c r="E53" i="1"/>
  <c r="K53" i="1"/>
  <c r="D55" i="1"/>
  <c r="H55" i="1"/>
  <c r="J55" i="1"/>
  <c r="D57" i="1"/>
  <c r="H57" i="1"/>
  <c r="D56" i="1"/>
  <c r="H56" i="1"/>
  <c r="J56" i="1"/>
  <c r="E56" i="1"/>
  <c r="K56" i="1"/>
  <c r="D52" i="1"/>
  <c r="H52" i="1"/>
  <c r="J52" i="1"/>
  <c r="D49" i="1"/>
  <c r="E49" i="1"/>
  <c r="K49" i="1"/>
  <c r="D48" i="1"/>
  <c r="H48" i="1"/>
  <c r="J48" i="1"/>
  <c r="D45" i="1"/>
  <c r="H45" i="1"/>
  <c r="J45" i="1"/>
  <c r="D46" i="1"/>
  <c r="H46" i="1"/>
  <c r="J46" i="1"/>
  <c r="E45" i="1"/>
  <c r="K45" i="1"/>
  <c r="D44" i="1"/>
  <c r="H44" i="1"/>
  <c r="J44" i="1"/>
  <c r="E44" i="1"/>
  <c r="K44" i="1"/>
  <c r="D42" i="1"/>
  <c r="H42" i="1"/>
  <c r="D43" i="1"/>
  <c r="H43" i="1"/>
  <c r="J43" i="1"/>
  <c r="E63" i="1"/>
  <c r="K63" i="1"/>
  <c r="G63" i="1"/>
  <c r="E61" i="1"/>
  <c r="K61" i="1"/>
  <c r="E60" i="1"/>
  <c r="K60" i="1"/>
  <c r="E59" i="1"/>
  <c r="K59" i="1"/>
  <c r="E58" i="1"/>
  <c r="K58" i="1"/>
  <c r="E57" i="1"/>
  <c r="K57" i="1"/>
  <c r="E55" i="1"/>
  <c r="K55" i="1"/>
  <c r="E54" i="1"/>
  <c r="G54" i="1"/>
  <c r="E52" i="1"/>
  <c r="K52" i="1"/>
  <c r="E51" i="1"/>
  <c r="K51" i="1"/>
  <c r="E50" i="1"/>
  <c r="K50" i="1"/>
  <c r="E48" i="1"/>
  <c r="K48" i="1"/>
  <c r="E47" i="1"/>
  <c r="K47" i="1"/>
  <c r="E43" i="1"/>
  <c r="K43" i="1"/>
  <c r="E42" i="1"/>
  <c r="K42" i="1"/>
  <c r="J79" i="1"/>
  <c r="J81" i="1"/>
  <c r="G94" i="1"/>
  <c r="J63" i="1"/>
  <c r="G55" i="1"/>
  <c r="G52" i="1"/>
  <c r="S80" i="1"/>
  <c r="J117" i="1"/>
  <c r="J115" i="1"/>
  <c r="H118" i="1"/>
  <c r="Q80" i="1"/>
  <c r="Q99" i="1"/>
  <c r="B118" i="1"/>
  <c r="B99" i="1"/>
  <c r="B64" i="1"/>
  <c r="J97" i="1"/>
  <c r="Q45" i="1"/>
  <c r="Q64" i="1"/>
  <c r="J89" i="1"/>
  <c r="C54" i="1"/>
  <c r="C55" i="1"/>
  <c r="C56" i="1"/>
  <c r="C46" i="1"/>
  <c r="C62" i="1"/>
  <c r="C59" i="1"/>
  <c r="C51" i="1"/>
  <c r="C53" i="1"/>
  <c r="C57" i="1"/>
  <c r="C52" i="1"/>
  <c r="C49" i="1"/>
  <c r="C48" i="1"/>
  <c r="C44" i="1"/>
  <c r="C43" i="1"/>
  <c r="C42" i="1"/>
  <c r="C45" i="1"/>
  <c r="O45" i="1"/>
  <c r="O64" i="1"/>
  <c r="O100" i="1"/>
  <c r="W99" i="1"/>
  <c r="X99" i="1"/>
  <c r="J124" i="1"/>
  <c r="N64" i="1"/>
  <c r="P64" i="1"/>
  <c r="R64" i="1"/>
  <c r="S64" i="1"/>
  <c r="T64" i="1"/>
  <c r="U64" i="1"/>
  <c r="V64" i="1"/>
  <c r="W64" i="1"/>
  <c r="X64" i="1"/>
  <c r="N118" i="1"/>
  <c r="O118" i="1"/>
  <c r="P118" i="1"/>
  <c r="Q118" i="1"/>
  <c r="R118" i="1"/>
  <c r="S118" i="1"/>
  <c r="T118" i="1"/>
  <c r="U118" i="1"/>
  <c r="V118" i="1"/>
  <c r="W118" i="1"/>
  <c r="X118" i="1"/>
  <c r="N127" i="1"/>
  <c r="O127" i="1"/>
  <c r="P127" i="1"/>
  <c r="Q127" i="1"/>
  <c r="R127" i="1"/>
  <c r="S127" i="1"/>
  <c r="T127" i="1"/>
  <c r="U127" i="1"/>
  <c r="V127" i="1"/>
  <c r="W127" i="1"/>
  <c r="X127" i="1"/>
  <c r="M127" i="1"/>
  <c r="H98" i="1"/>
  <c r="H99" i="1"/>
  <c r="N99" i="1"/>
  <c r="N100" i="1"/>
  <c r="O99" i="1"/>
  <c r="P99" i="1"/>
  <c r="P100" i="1"/>
  <c r="R99" i="1"/>
  <c r="R100" i="1"/>
  <c r="T99" i="1"/>
  <c r="T100" i="1"/>
  <c r="U99" i="1"/>
  <c r="U100" i="1"/>
  <c r="V99" i="1"/>
  <c r="M99" i="1"/>
  <c r="I98" i="1"/>
  <c r="J98" i="1"/>
  <c r="F98" i="1"/>
  <c r="K98" i="1"/>
  <c r="E98" i="1"/>
  <c r="M118" i="1"/>
  <c r="E41" i="1"/>
  <c r="F41" i="1"/>
  <c r="G41" i="1"/>
  <c r="H41" i="1"/>
  <c r="I41" i="1"/>
  <c r="J41" i="1"/>
  <c r="M64" i="1"/>
  <c r="E76" i="1"/>
  <c r="F76" i="1"/>
  <c r="G76" i="1"/>
  <c r="H76" i="1"/>
  <c r="I76" i="1"/>
  <c r="J76" i="1"/>
  <c r="G77" i="1"/>
  <c r="C99" i="1"/>
  <c r="E113" i="1"/>
  <c r="F113" i="1"/>
  <c r="G113" i="1"/>
  <c r="H113" i="1"/>
  <c r="I113" i="1"/>
  <c r="J113" i="1"/>
  <c r="C118" i="1"/>
  <c r="C124" i="1"/>
  <c r="E124" i="1"/>
  <c r="G124" i="1"/>
  <c r="H124" i="1"/>
  <c r="C127" i="1"/>
  <c r="G60" i="1"/>
  <c r="W100" i="1"/>
  <c r="G98" i="1"/>
  <c r="J77" i="1"/>
  <c r="X100" i="1"/>
  <c r="B100" i="1"/>
  <c r="G93" i="1"/>
  <c r="J47" i="1"/>
  <c r="J93" i="1"/>
  <c r="M100" i="1"/>
  <c r="G127" i="1"/>
  <c r="J95" i="1"/>
  <c r="J86" i="1"/>
  <c r="S99" i="1"/>
  <c r="S100" i="1"/>
  <c r="E118" i="1"/>
  <c r="J114" i="1"/>
  <c r="C64" i="1"/>
  <c r="C100" i="1"/>
  <c r="G43" i="1"/>
  <c r="G51" i="1"/>
  <c r="G48" i="1"/>
  <c r="E99" i="1"/>
  <c r="G61" i="1"/>
  <c r="E125" i="1"/>
  <c r="J125" i="1"/>
  <c r="J127" i="1"/>
  <c r="K94" i="1"/>
  <c r="G117" i="1"/>
  <c r="K80" i="1"/>
  <c r="K96" i="1"/>
  <c r="J91" i="1"/>
  <c r="J92" i="1"/>
  <c r="J61" i="1"/>
  <c r="I99" i="1"/>
  <c r="J99" i="1"/>
  <c r="K78" i="1"/>
  <c r="K99" i="1"/>
  <c r="K116" i="1"/>
  <c r="F118" i="1"/>
  <c r="G118" i="1"/>
  <c r="I118" i="1"/>
  <c r="J118" i="1"/>
  <c r="G114" i="1"/>
  <c r="V100" i="1"/>
  <c r="I64" i="1"/>
  <c r="F64" i="1"/>
  <c r="G47" i="1"/>
  <c r="K82" i="1"/>
  <c r="J82" i="1"/>
  <c r="E126" i="1"/>
  <c r="E127" i="1"/>
  <c r="J126" i="1"/>
  <c r="Q100" i="1"/>
  <c r="K118" i="1"/>
  <c r="J42" i="1"/>
  <c r="K62" i="1"/>
  <c r="G62" i="1"/>
  <c r="G99" i="1"/>
  <c r="F100" i="1"/>
  <c r="G49" i="1"/>
  <c r="J57" i="1"/>
  <c r="D64" i="1"/>
  <c r="D100" i="1"/>
  <c r="G44" i="1"/>
  <c r="G53" i="1"/>
  <c r="G56" i="1"/>
  <c r="G57" i="1"/>
  <c r="G58" i="1"/>
  <c r="G59" i="1"/>
  <c r="H49" i="1"/>
  <c r="J49" i="1"/>
  <c r="H62" i="1"/>
  <c r="J62" i="1"/>
  <c r="K54" i="1"/>
  <c r="I100" i="1"/>
  <c r="E46" i="1"/>
  <c r="K46" i="1"/>
  <c r="K64" i="1"/>
  <c r="K100" i="1"/>
  <c r="E64" i="1"/>
  <c r="H64" i="1"/>
  <c r="G46" i="1"/>
  <c r="H100" i="1"/>
  <c r="J64" i="1"/>
  <c r="J100" i="1"/>
  <c r="E100" i="1"/>
  <c r="G64" i="1"/>
  <c r="G100" i="1"/>
</calcChain>
</file>

<file path=xl/comments1.xml><?xml version="1.0" encoding="utf-8"?>
<comments xmlns="http://schemas.openxmlformats.org/spreadsheetml/2006/main">
  <authors>
    <author>Administrator</author>
  </authors>
  <commentList>
    <comment ref="Q87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dwelling+building
</t>
        </r>
      </text>
    </comment>
  </commentList>
</comments>
</file>

<file path=xl/sharedStrings.xml><?xml version="1.0" encoding="utf-8"?>
<sst xmlns="http://schemas.openxmlformats.org/spreadsheetml/2006/main" count="146" uniqueCount="87">
  <si>
    <t>INCOME</t>
  </si>
  <si>
    <t>VOTE</t>
  </si>
  <si>
    <t>ACTUAL</t>
  </si>
  <si>
    <t>BUDGET</t>
  </si>
  <si>
    <t>EXECUTIVE MAYOR</t>
  </si>
  <si>
    <t>SPEAKER</t>
  </si>
  <si>
    <t>MAYORAL COMMITTEE</t>
  </si>
  <si>
    <t>COUNCIL GENERAL</t>
  </si>
  <si>
    <t>MUNICIPAL MANAGER</t>
  </si>
  <si>
    <t>CORPORATE SERVICES</t>
  </si>
  <si>
    <t>FINANCE SERVICES</t>
  </si>
  <si>
    <t>PROPERTY</t>
  </si>
  <si>
    <t>TECHNICAL SERVICES</t>
  </si>
  <si>
    <t>SOCIAL SERVICES</t>
  </si>
  <si>
    <t>DISASTER MANAGEMENT</t>
  </si>
  <si>
    <t>FIRE SERVICE</t>
  </si>
  <si>
    <t>TOURISM</t>
  </si>
  <si>
    <t>TOTAL</t>
  </si>
  <si>
    <t>OPERATING EXPENDITURE</t>
  </si>
  <si>
    <t>CAPITAL EXPENDITURE</t>
  </si>
  <si>
    <t>REVENUE SOURCE</t>
  </si>
  <si>
    <t>INTEREST EARNED</t>
  </si>
  <si>
    <t>INTEREST EARNED- DEBTORS</t>
  </si>
  <si>
    <t>OPERATING GRANTS &amp; SUBSIDIES</t>
  </si>
  <si>
    <t>OTHER INCOME</t>
  </si>
  <si>
    <t>OPERATING INCOME</t>
  </si>
  <si>
    <t>TOTAL INCOME</t>
  </si>
  <si>
    <t>SUB TOTAL</t>
  </si>
  <si>
    <t>TOTAL EXPENDITURE</t>
  </si>
  <si>
    <t>MONTHLY  INCOME STATEMENT COMPARED WITH BUDGET</t>
  </si>
  <si>
    <t>MONTHLY  EXPENDITURE STATEMENT COMPARED WITH BUDGET</t>
  </si>
  <si>
    <t>ALLOCATIONS RECEIVED &amp; EXPENDITURE AGAINST SAME</t>
  </si>
  <si>
    <t>FMG</t>
  </si>
  <si>
    <t>MSIG</t>
  </si>
  <si>
    <t>BALANCE</t>
  </si>
  <si>
    <t xml:space="preserve">TOTAL -GRANTS </t>
  </si>
  <si>
    <t>PROJECTION FOR REMAINDER OF YEAR</t>
  </si>
  <si>
    <t>MONTHLY BUDGET STATEMENTS</t>
  </si>
  <si>
    <t>SECTION 71 OF THE MUNICIPAL FINANCE MANAGEMENT ACT</t>
  </si>
  <si>
    <t>JUL</t>
  </si>
  <si>
    <t>AUG</t>
  </si>
  <si>
    <t>SEPT</t>
  </si>
  <si>
    <t>OCT</t>
  </si>
  <si>
    <t>NOV</t>
  </si>
  <si>
    <t>DEC</t>
  </si>
  <si>
    <t>JAN</t>
  </si>
  <si>
    <t>FEB</t>
  </si>
  <si>
    <t>MARCH</t>
  </si>
  <si>
    <t>APRIL</t>
  </si>
  <si>
    <t xml:space="preserve">MAY </t>
  </si>
  <si>
    <t>JUN</t>
  </si>
  <si>
    <t>ACCUMULATIVE BUDGET</t>
  </si>
  <si>
    <t>ACCUMULATIVE ACTUAL</t>
  </si>
  <si>
    <t xml:space="preserve">ACCUMULATIVE </t>
  </si>
  <si>
    <t xml:space="preserve">EXPENDITURE </t>
  </si>
  <si>
    <t>ALLOCATIONS</t>
  </si>
  <si>
    <t>PERCENTAGE SPENT ON ACCUMALATIVE TOTALS</t>
  </si>
  <si>
    <t>PERCENTAGE SPENT ON BUDGET</t>
  </si>
  <si>
    <t>Expenditure is stated per vote.</t>
  </si>
  <si>
    <t>FOLLOWING GRAPHS PRESENT A GRAPHICAL VIEW OF ABOVE BUDGET</t>
  </si>
  <si>
    <t xml:space="preserve">RECEIVED </t>
  </si>
  <si>
    <t xml:space="preserve">Following schedule reflects the inflow as well as the outflow of conditional  grants and subidies. </t>
  </si>
  <si>
    <t>LED &amp; PLANNING</t>
  </si>
  <si>
    <t>ENVIRONMENTAL HEALTH</t>
  </si>
  <si>
    <t>HUMAN RESOURCES</t>
  </si>
  <si>
    <t>INFORMATION TECHNOLOGY</t>
  </si>
  <si>
    <t>FINANCE TECHNICAL SUPPORT</t>
  </si>
  <si>
    <t>NOTES FOR OVERSPENT CAPITAL EXPENDITURE:</t>
  </si>
  <si>
    <t>When comparing the accumulative actual with the percentage spent on accumulative is very high but the total amount budgeted has not been exceeded.</t>
  </si>
  <si>
    <t>MUNICIPAL SUPPORT</t>
  </si>
  <si>
    <t>SKILLS DEVELOPMENT FACILITATOR</t>
  </si>
  <si>
    <t>INTER-GOVERNMENTAL RELATIONS</t>
  </si>
  <si>
    <t>ROADS</t>
  </si>
  <si>
    <t>2011/2012</t>
  </si>
  <si>
    <t>\</t>
  </si>
  <si>
    <t>NOTES FOR OVERSPENT OPERATIONAL EXPENDITURE:</t>
  </si>
  <si>
    <t>INCOME RECEIVED ON BUDGET</t>
  </si>
  <si>
    <t>INCOME RECEIVED ON ACCUMULATIVE TOTALS</t>
  </si>
  <si>
    <t>REV BUDGET</t>
  </si>
  <si>
    <t xml:space="preserve"> ORIGINAL  BUDGET</t>
  </si>
  <si>
    <t>2ND REV BUDGET</t>
  </si>
  <si>
    <t>85% of the total budgeted amount for the period under concern is spent.</t>
  </si>
  <si>
    <t>MONTH  10</t>
  </si>
  <si>
    <t xml:space="preserve">EXECUTIVE MAYOR, AND TOURISM </t>
  </si>
  <si>
    <t>119% of the budgeted levy income for the year realised</t>
  </si>
  <si>
    <t>44% of the total budgeted amount for the period under concern is spent.</t>
  </si>
  <si>
    <t>EXECUTIVE MAYOR,  MAYCO, COUNCIL GENERAL,  HUMAN RESOURCES,  AND MUNICIPAL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</si>
</sst>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</numFmts>
  <fonts count="14" x14ac:knownFonts="1">
    <font>
      <sz val="10"/>
      <name val="Arial"/>
    </font>
    <font>
      <sz val="10"/>
      <name val="Arial"/>
    </font>
    <font>
      <i/>
      <sz val="9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i/>
      <sz val="2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i/>
      <sz val="14"/>
      <name val="Arial"/>
      <family val="2"/>
    </font>
    <font>
      <b/>
      <i/>
      <sz val="8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3">
    <xf numFmtId="0" fontId="0" fillId="0" borderId="0" xfId="0"/>
    <xf numFmtId="0" fontId="3" fillId="0" borderId="0" xfId="0" applyFont="1"/>
    <xf numFmtId="0" fontId="5" fillId="0" borderId="0" xfId="0" applyFont="1"/>
    <xf numFmtId="0" fontId="0" fillId="2" borderId="0" xfId="0" applyFill="1"/>
    <xf numFmtId="0" fontId="5" fillId="2" borderId="0" xfId="0" applyFont="1" applyFill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0" fontId="9" fillId="0" borderId="4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4" xfId="0" applyFont="1" applyBorder="1"/>
    <xf numFmtId="0" fontId="9" fillId="0" borderId="0" xfId="0" applyFont="1" applyBorder="1"/>
    <xf numFmtId="0" fontId="9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10" fillId="0" borderId="0" xfId="0" applyFont="1" applyBorder="1"/>
    <xf numFmtId="0" fontId="10" fillId="0" borderId="0" xfId="0" applyFont="1"/>
    <xf numFmtId="0" fontId="10" fillId="0" borderId="0" xfId="0" applyFont="1" applyFill="1" applyBorder="1"/>
    <xf numFmtId="0" fontId="4" fillId="0" borderId="0" xfId="0" applyFont="1"/>
    <xf numFmtId="0" fontId="10" fillId="0" borderId="9" xfId="0" applyFont="1" applyBorder="1" applyAlignment="1">
      <alignment horizontal="left"/>
    </xf>
    <xf numFmtId="0" fontId="4" fillId="0" borderId="10" xfId="0" applyFont="1" applyBorder="1"/>
    <xf numFmtId="0" fontId="4" fillId="0" borderId="11" xfId="0" applyFont="1" applyBorder="1"/>
    <xf numFmtId="0" fontId="10" fillId="0" borderId="11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9" fillId="0" borderId="12" xfId="0" applyFont="1" applyBorder="1"/>
    <xf numFmtId="0" fontId="4" fillId="0" borderId="12" xfId="0" applyFont="1" applyBorder="1" applyAlignment="1">
      <alignment horizontal="center"/>
    </xf>
    <xf numFmtId="0" fontId="10" fillId="0" borderId="13" xfId="0" applyFont="1" applyBorder="1"/>
    <xf numFmtId="166" fontId="10" fillId="0" borderId="11" xfId="1" applyNumberFormat="1" applyFont="1" applyBorder="1"/>
    <xf numFmtId="166" fontId="10" fillId="0" borderId="13" xfId="1" applyNumberFormat="1" applyFont="1" applyBorder="1"/>
    <xf numFmtId="166" fontId="10" fillId="0" borderId="5" xfId="0" applyNumberFormat="1" applyFont="1" applyBorder="1"/>
    <xf numFmtId="0" fontId="10" fillId="0" borderId="14" xfId="0" applyFont="1" applyBorder="1"/>
    <xf numFmtId="166" fontId="10" fillId="0" borderId="14" xfId="1" applyNumberFormat="1" applyFont="1" applyBorder="1"/>
    <xf numFmtId="166" fontId="10" fillId="0" borderId="0" xfId="1" applyNumberFormat="1" applyFont="1" applyBorder="1"/>
    <xf numFmtId="0" fontId="9" fillId="0" borderId="0" xfId="0" applyFont="1" applyFill="1" applyBorder="1"/>
    <xf numFmtId="0" fontId="10" fillId="0" borderId="9" xfId="0" applyFont="1" applyBorder="1" applyAlignment="1">
      <alignment horizontal="center" wrapText="1"/>
    </xf>
    <xf numFmtId="0" fontId="4" fillId="0" borderId="12" xfId="0" applyFont="1" applyBorder="1"/>
    <xf numFmtId="166" fontId="10" fillId="0" borderId="7" xfId="0" applyNumberFormat="1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10" fillId="0" borderId="4" xfId="0" applyFont="1" applyBorder="1"/>
    <xf numFmtId="0" fontId="10" fillId="0" borderId="15" xfId="0" applyFont="1" applyBorder="1"/>
    <xf numFmtId="0" fontId="4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9" fillId="0" borderId="11" xfId="0" applyFont="1" applyFill="1" applyBorder="1" applyAlignment="1">
      <alignment wrapText="1"/>
    </xf>
    <xf numFmtId="0" fontId="9" fillId="0" borderId="12" xfId="0" applyFont="1" applyFill="1" applyBorder="1" applyAlignment="1">
      <alignment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/>
    <xf numFmtId="166" fontId="10" fillId="0" borderId="0" xfId="0" applyNumberFormat="1" applyFont="1" applyBorder="1"/>
    <xf numFmtId="9" fontId="10" fillId="0" borderId="5" xfId="2" applyFont="1" applyBorder="1"/>
    <xf numFmtId="9" fontId="10" fillId="0" borderId="14" xfId="2" applyFont="1" applyBorder="1"/>
    <xf numFmtId="0" fontId="10" fillId="3" borderId="11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center" wrapText="1"/>
    </xf>
    <xf numFmtId="0" fontId="10" fillId="3" borderId="12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9" fontId="10" fillId="0" borderId="13" xfId="2" applyFont="1" applyBorder="1"/>
    <xf numFmtId="16" fontId="10" fillId="3" borderId="12" xfId="0" applyNumberFormat="1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4" xfId="0" applyFont="1" applyBorder="1"/>
    <xf numFmtId="0" fontId="11" fillId="0" borderId="0" xfId="0" applyFont="1" applyBorder="1"/>
    <xf numFmtId="0" fontId="11" fillId="0" borderId="5" xfId="0" applyFont="1" applyBorder="1"/>
    <xf numFmtId="0" fontId="0" fillId="4" borderId="2" xfId="0" applyFill="1" applyBorder="1"/>
    <xf numFmtId="0" fontId="5" fillId="4" borderId="0" xfId="0" applyFont="1" applyFill="1" applyBorder="1"/>
    <xf numFmtId="0" fontId="5" fillId="4" borderId="0" xfId="0" applyFont="1" applyFill="1"/>
    <xf numFmtId="0" fontId="0" fillId="4" borderId="0" xfId="0" applyFill="1" applyBorder="1"/>
    <xf numFmtId="0" fontId="6" fillId="4" borderId="0" xfId="0" applyFont="1" applyFill="1" applyBorder="1" applyAlignment="1"/>
    <xf numFmtId="0" fontId="0" fillId="4" borderId="0" xfId="0" applyFill="1"/>
    <xf numFmtId="166" fontId="5" fillId="4" borderId="0" xfId="0" applyNumberFormat="1" applyFont="1" applyFill="1"/>
    <xf numFmtId="166" fontId="5" fillId="4" borderId="14" xfId="1" applyNumberFormat="1" applyFont="1" applyFill="1" applyBorder="1"/>
    <xf numFmtId="0" fontId="3" fillId="4" borderId="0" xfId="0" applyFont="1" applyFill="1"/>
    <xf numFmtId="0" fontId="2" fillId="4" borderId="0" xfId="0" applyFont="1" applyFill="1" applyBorder="1"/>
    <xf numFmtId="166" fontId="4" fillId="2" borderId="0" xfId="0" applyNumberFormat="1" applyFont="1" applyFill="1"/>
    <xf numFmtId="1" fontId="10" fillId="0" borderId="0" xfId="2" applyNumberFormat="1" applyFont="1" applyBorder="1"/>
    <xf numFmtId="9" fontId="10" fillId="0" borderId="0" xfId="2" applyFont="1" applyBorder="1"/>
    <xf numFmtId="0" fontId="12" fillId="0" borderId="0" xfId="0" applyFont="1"/>
    <xf numFmtId="166" fontId="5" fillId="0" borderId="13" xfId="1" applyNumberFormat="1" applyFont="1" applyBorder="1"/>
    <xf numFmtId="37" fontId="10" fillId="0" borderId="13" xfId="0" applyNumberFormat="1" applyFont="1" applyBorder="1"/>
    <xf numFmtId="37" fontId="10" fillId="0" borderId="14" xfId="0" applyNumberFormat="1" applyFont="1" applyBorder="1"/>
    <xf numFmtId="166" fontId="5" fillId="4" borderId="0" xfId="1" applyNumberFormat="1" applyFont="1" applyFill="1" applyBorder="1"/>
    <xf numFmtId="0" fontId="12" fillId="0" borderId="0" xfId="0" applyFont="1" applyBorder="1"/>
    <xf numFmtId="0" fontId="5" fillId="0" borderId="0" xfId="0" applyFont="1" applyBorder="1"/>
    <xf numFmtId="0" fontId="5" fillId="5" borderId="12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5" fillId="0" borderId="13" xfId="0" applyFont="1" applyBorder="1"/>
    <xf numFmtId="1" fontId="5" fillId="4" borderId="0" xfId="0" applyNumberFormat="1" applyFont="1" applyFill="1"/>
    <xf numFmtId="0" fontId="5" fillId="0" borderId="0" xfId="0" applyFont="1" applyFill="1" applyBorder="1"/>
    <xf numFmtId="0" fontId="5" fillId="6" borderId="0" xfId="0" applyFont="1" applyFill="1"/>
    <xf numFmtId="166" fontId="5" fillId="4" borderId="14" xfId="0" applyNumberFormat="1" applyFont="1" applyFill="1" applyBorder="1"/>
    <xf numFmtId="0" fontId="5" fillId="4" borderId="14" xfId="0" applyFont="1" applyFill="1" applyBorder="1"/>
    <xf numFmtId="37" fontId="5" fillId="4" borderId="0" xfId="0" applyNumberFormat="1" applyFont="1" applyFill="1"/>
    <xf numFmtId="37" fontId="5" fillId="4" borderId="14" xfId="0" applyNumberFormat="1" applyFont="1" applyFill="1" applyBorder="1"/>
    <xf numFmtId="166" fontId="5" fillId="6" borderId="14" xfId="0" applyNumberFormat="1" applyFont="1" applyFill="1" applyBorder="1"/>
    <xf numFmtId="37" fontId="5" fillId="6" borderId="0" xfId="0" applyNumberFormat="1" applyFont="1" applyFill="1"/>
    <xf numFmtId="37" fontId="5" fillId="6" borderId="14" xfId="0" applyNumberFormat="1" applyFont="1" applyFill="1" applyBorder="1"/>
    <xf numFmtId="166" fontId="5" fillId="6" borderId="14" xfId="1" applyNumberFormat="1" applyFont="1" applyFill="1" applyBorder="1"/>
    <xf numFmtId="166" fontId="5" fillId="6" borderId="0" xfId="1" applyNumberFormat="1" applyFont="1" applyFill="1" applyBorder="1"/>
    <xf numFmtId="166" fontId="5" fillId="6" borderId="0" xfId="0" applyNumberFormat="1" applyFont="1" applyFill="1"/>
    <xf numFmtId="166" fontId="5" fillId="4" borderId="10" xfId="1" applyNumberFormat="1" applyFont="1" applyFill="1" applyBorder="1"/>
    <xf numFmtId="166" fontId="5" fillId="4" borderId="10" xfId="0" applyNumberFormat="1" applyFont="1" applyFill="1" applyBorder="1"/>
    <xf numFmtId="0" fontId="13" fillId="4" borderId="14" xfId="0" applyFont="1" applyFill="1" applyBorder="1"/>
    <xf numFmtId="1" fontId="5" fillId="4" borderId="14" xfId="0" applyNumberFormat="1" applyFont="1" applyFill="1" applyBorder="1"/>
    <xf numFmtId="1" fontId="5" fillId="6" borderId="14" xfId="0" applyNumberFormat="1" applyFont="1" applyFill="1" applyBorder="1"/>
    <xf numFmtId="0" fontId="3" fillId="4" borderId="0" xfId="0" applyFont="1" applyFill="1" applyBorder="1"/>
    <xf numFmtId="166" fontId="5" fillId="4" borderId="0" xfId="0" applyNumberFormat="1" applyFont="1" applyFill="1" applyBorder="1"/>
    <xf numFmtId="0" fontId="5" fillId="6" borderId="0" xfId="0" applyFont="1" applyFill="1" applyBorder="1"/>
    <xf numFmtId="166" fontId="5" fillId="0" borderId="0" xfId="1" applyNumberFormat="1" applyFont="1" applyBorder="1"/>
    <xf numFmtId="9" fontId="5" fillId="0" borderId="0" xfId="2" applyFont="1" applyBorder="1"/>
    <xf numFmtId="0" fontId="5" fillId="3" borderId="5" xfId="0" applyFont="1" applyFill="1" applyBorder="1" applyAlignment="1">
      <alignment horizontal="center" wrapText="1"/>
    </xf>
    <xf numFmtId="3" fontId="5" fillId="4" borderId="0" xfId="0" applyNumberFormat="1" applyFont="1" applyFill="1"/>
    <xf numFmtId="3" fontId="5" fillId="4" borderId="14" xfId="0" applyNumberFormat="1" applyFont="1" applyFill="1" applyBorder="1"/>
    <xf numFmtId="3" fontId="5" fillId="4" borderId="14" xfId="1" applyNumberFormat="1" applyFont="1" applyFill="1" applyBorder="1"/>
    <xf numFmtId="3" fontId="5" fillId="4" borderId="0" xfId="1" applyNumberFormat="1" applyFont="1" applyFill="1" applyBorder="1"/>
    <xf numFmtId="3" fontId="5" fillId="4" borderId="0" xfId="0" applyNumberFormat="1" applyFont="1" applyFill="1" applyBorder="1"/>
    <xf numFmtId="0" fontId="5" fillId="5" borderId="11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164" fontId="5" fillId="5" borderId="12" xfId="0" applyNumberFormat="1" applyFont="1" applyFill="1" applyBorder="1" applyAlignment="1">
      <alignment horizontal="center"/>
    </xf>
    <xf numFmtId="164" fontId="10" fillId="0" borderId="13" xfId="0" applyNumberFormat="1" applyFont="1" applyBorder="1"/>
    <xf numFmtId="164" fontId="5" fillId="0" borderId="13" xfId="0" applyNumberFormat="1" applyFont="1" applyBorder="1"/>
    <xf numFmtId="164" fontId="10" fillId="0" borderId="14" xfId="0" applyNumberFormat="1" applyFont="1" applyBorder="1"/>
    <xf numFmtId="164" fontId="10" fillId="0" borderId="0" xfId="0" applyNumberFormat="1" applyFont="1" applyBorder="1"/>
    <xf numFmtId="164" fontId="10" fillId="0" borderId="4" xfId="0" applyNumberFormat="1" applyFont="1" applyBorder="1"/>
    <xf numFmtId="164" fontId="4" fillId="2" borderId="0" xfId="0" applyNumberFormat="1" applyFont="1" applyFill="1"/>
    <xf numFmtId="0" fontId="5" fillId="5" borderId="1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37" fontId="10" fillId="0" borderId="4" xfId="0" applyNumberFormat="1" applyFont="1" applyBorder="1"/>
    <xf numFmtId="37" fontId="10" fillId="0" borderId="15" xfId="0" applyNumberFormat="1" applyFont="1" applyBorder="1"/>
    <xf numFmtId="37" fontId="10" fillId="0" borderId="5" xfId="0" applyNumberFormat="1" applyFont="1" applyBorder="1"/>
    <xf numFmtId="0" fontId="10" fillId="7" borderId="0" xfId="0" applyFont="1" applyFill="1"/>
    <xf numFmtId="0" fontId="9" fillId="0" borderId="6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0" fillId="0" borderId="15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9" fillId="0" borderId="15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11" fillId="0" borderId="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37" fontId="10" fillId="0" borderId="4" xfId="0" applyNumberFormat="1" applyFont="1" applyBorder="1" applyAlignment="1">
      <alignment horizontal="center"/>
    </xf>
    <xf numFmtId="37" fontId="10" fillId="0" borderId="5" xfId="0" applyNumberFormat="1" applyFont="1" applyBorder="1" applyAlignment="1">
      <alignment horizontal="center"/>
    </xf>
    <xf numFmtId="37" fontId="10" fillId="0" borderId="15" xfId="0" applyNumberFormat="1" applyFont="1" applyBorder="1" applyAlignment="1">
      <alignment horizontal="center"/>
    </xf>
    <xf numFmtId="37" fontId="10" fillId="0" borderId="10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37" fontId="10" fillId="0" borderId="1" xfId="0" applyNumberFormat="1" applyFont="1" applyBorder="1" applyAlignment="1">
      <alignment horizontal="right"/>
    </xf>
    <xf numFmtId="37" fontId="10" fillId="0" borderId="3" xfId="0" applyNumberFormat="1" applyFont="1" applyBorder="1" applyAlignment="1">
      <alignment horizontal="right"/>
    </xf>
    <xf numFmtId="37" fontId="10" fillId="0" borderId="6" xfId="0" applyNumberFormat="1" applyFont="1" applyBorder="1" applyAlignment="1">
      <alignment horizontal="right"/>
    </xf>
    <xf numFmtId="37" fontId="10" fillId="0" borderId="8" xfId="0" applyNumberFormat="1" applyFont="1" applyBorder="1" applyAlignment="1">
      <alignment horizontal="right"/>
    </xf>
    <xf numFmtId="37" fontId="10" fillId="0" borderId="15" xfId="0" applyNumberFormat="1" applyFont="1" applyBorder="1" applyAlignment="1">
      <alignment horizontal="right"/>
    </xf>
    <xf numFmtId="37" fontId="10" fillId="0" borderId="10" xfId="0" applyNumberFormat="1" applyFont="1" applyBorder="1" applyAlignment="1">
      <alignment horizontal="right"/>
    </xf>
    <xf numFmtId="37" fontId="10" fillId="0" borderId="1" xfId="0" applyNumberFormat="1" applyFont="1" applyBorder="1" applyAlignment="1">
      <alignment horizontal="center"/>
    </xf>
    <xf numFmtId="37" fontId="10" fillId="0" borderId="3" xfId="0" applyNumberFormat="1" applyFont="1" applyBorder="1" applyAlignment="1">
      <alignment horizontal="center"/>
    </xf>
    <xf numFmtId="37" fontId="10" fillId="0" borderId="6" xfId="0" applyNumberFormat="1" applyFont="1" applyBorder="1" applyAlignment="1">
      <alignment horizontal="center"/>
    </xf>
    <xf numFmtId="37" fontId="10" fillId="0" borderId="8" xfId="0" applyNumberFormat="1" applyFont="1" applyBorder="1" applyAlignment="1">
      <alignment horizontal="center"/>
    </xf>
    <xf numFmtId="37" fontId="5" fillId="0" borderId="15" xfId="0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BUDGET PERFORMANCE: EXPENDITURE</a:t>
            </a:r>
          </a:p>
        </c:rich>
      </c:tx>
      <c:layout>
        <c:manualLayout>
          <c:xMode val="edge"/>
          <c:yMode val="edge"/>
          <c:x val="0.34902429989044165"/>
          <c:y val="3.3950656167979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14245263080592"/>
          <c:y val="0.17901288523848993"/>
          <c:w val="0.69690050549190574"/>
          <c:h val="0.333334338030291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SECTION71!$H$40:$H$41</c:f>
              <c:strCache>
                <c:ptCount val="1"/>
                <c:pt idx="0">
                  <c:v>ACCUMULATIVE BUDGET MONTH  10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SECTION71!$A$42:$A$64</c:f>
              <c:strCache>
                <c:ptCount val="20"/>
                <c:pt idx="0">
                  <c:v>EXECUTIVE MAYOR</c:v>
                </c:pt>
                <c:pt idx="1">
                  <c:v>SPEAKER</c:v>
                </c:pt>
                <c:pt idx="2">
                  <c:v>MAYORAL COMMITTEE</c:v>
                </c:pt>
                <c:pt idx="3">
                  <c:v>COUNCIL GENERAL</c:v>
                </c:pt>
                <c:pt idx="4">
                  <c:v>MUNICIPAL MANAGER</c:v>
                </c:pt>
                <c:pt idx="5">
                  <c:v>CORPORATE SERVICES</c:v>
                </c:pt>
                <c:pt idx="6">
                  <c:v>HUMAN RESOURCES</c:v>
                </c:pt>
                <c:pt idx="7">
                  <c:v>INFORMATION TECHNOLOGY</c:v>
                </c:pt>
                <c:pt idx="8">
                  <c:v>FINANCE TECHNICAL SUPPORT</c:v>
                </c:pt>
                <c:pt idx="9">
                  <c:v>FINANCE SERVICES</c:v>
                </c:pt>
                <c:pt idx="10">
                  <c:v>PROPERTY</c:v>
                </c:pt>
                <c:pt idx="11">
                  <c:v>LED &amp; PLANNING</c:v>
                </c:pt>
                <c:pt idx="12">
                  <c:v>TECHNICAL SERVICES</c:v>
                </c:pt>
                <c:pt idx="13">
                  <c:v>ENVIRONMENTAL HEALTH</c:v>
                </c:pt>
                <c:pt idx="14">
                  <c:v>SOCIAL SERVICES</c:v>
                </c:pt>
                <c:pt idx="15">
                  <c:v>DISASTER MANAGEMENT</c:v>
                </c:pt>
                <c:pt idx="16">
                  <c:v>MUNICIPAL SUPPORT</c:v>
                </c:pt>
                <c:pt idx="17">
                  <c:v>ROADS</c:v>
                </c:pt>
                <c:pt idx="18">
                  <c:v>TOURISM</c:v>
                </c:pt>
                <c:pt idx="19">
                  <c:v>SUB TOTAL</c:v>
                </c:pt>
              </c:strCache>
            </c:strRef>
          </c:cat>
          <c:val>
            <c:numRef>
              <c:f>SECTION71!$H$42:$H$64</c:f>
              <c:numCache>
                <c:formatCode>_ * #,##0_ ;_ * \-#,##0_ ;_ * "-"??_ ;_ @_ </c:formatCode>
                <c:ptCount val="20"/>
                <c:pt idx="0">
                  <c:v>15740460</c:v>
                </c:pt>
                <c:pt idx="1">
                  <c:v>2236863.3333333335</c:v>
                </c:pt>
                <c:pt idx="2">
                  <c:v>4022005</c:v>
                </c:pt>
                <c:pt idx="3">
                  <c:v>15407232.5</c:v>
                </c:pt>
                <c:pt idx="4">
                  <c:v>7187417.5</c:v>
                </c:pt>
                <c:pt idx="5">
                  <c:v>5068183.333333333</c:v>
                </c:pt>
                <c:pt idx="6">
                  <c:v>2059264.1666666665</c:v>
                </c:pt>
                <c:pt idx="7">
                  <c:v>1472817.5</c:v>
                </c:pt>
                <c:pt idx="8">
                  <c:v>0</c:v>
                </c:pt>
                <c:pt idx="9">
                  <c:v>9944889.166666666</c:v>
                </c:pt>
                <c:pt idx="10">
                  <c:v>3826328.333333333</c:v>
                </c:pt>
                <c:pt idx="11">
                  <c:v>6043550</c:v>
                </c:pt>
                <c:pt idx="12">
                  <c:v>1200184.1666666667</c:v>
                </c:pt>
                <c:pt idx="13">
                  <c:v>8618220</c:v>
                </c:pt>
                <c:pt idx="14">
                  <c:v>2056243.3333333335</c:v>
                </c:pt>
                <c:pt idx="15">
                  <c:v>1964923.3333333335</c:v>
                </c:pt>
                <c:pt idx="16">
                  <c:v>1063283.3333333333</c:v>
                </c:pt>
                <c:pt idx="17">
                  <c:v>4181822.5</c:v>
                </c:pt>
                <c:pt idx="18">
                  <c:v>3666666.666666667</c:v>
                </c:pt>
                <c:pt idx="19">
                  <c:v>95760354.166666657</c:v>
                </c:pt>
              </c:numCache>
            </c:numRef>
          </c:val>
        </c:ser>
        <c:ser>
          <c:idx val="2"/>
          <c:order val="1"/>
          <c:tx>
            <c:strRef>
              <c:f>SECTION71!$I$40:$I$41</c:f>
              <c:strCache>
                <c:ptCount val="1"/>
                <c:pt idx="0">
                  <c:v>ACCUMULATIVE ACTUAL MONTH 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SECTION71!$A$42:$A$64</c:f>
              <c:strCache>
                <c:ptCount val="20"/>
                <c:pt idx="0">
                  <c:v>EXECUTIVE MAYOR</c:v>
                </c:pt>
                <c:pt idx="1">
                  <c:v>SPEAKER</c:v>
                </c:pt>
                <c:pt idx="2">
                  <c:v>MAYORAL COMMITTEE</c:v>
                </c:pt>
                <c:pt idx="3">
                  <c:v>COUNCIL GENERAL</c:v>
                </c:pt>
                <c:pt idx="4">
                  <c:v>MUNICIPAL MANAGER</c:v>
                </c:pt>
                <c:pt idx="5">
                  <c:v>CORPORATE SERVICES</c:v>
                </c:pt>
                <c:pt idx="6">
                  <c:v>HUMAN RESOURCES</c:v>
                </c:pt>
                <c:pt idx="7">
                  <c:v>INFORMATION TECHNOLOGY</c:v>
                </c:pt>
                <c:pt idx="8">
                  <c:v>FINANCE TECHNICAL SUPPORT</c:v>
                </c:pt>
                <c:pt idx="9">
                  <c:v>FINANCE SERVICES</c:v>
                </c:pt>
                <c:pt idx="10">
                  <c:v>PROPERTY</c:v>
                </c:pt>
                <c:pt idx="11">
                  <c:v>LED &amp; PLANNING</c:v>
                </c:pt>
                <c:pt idx="12">
                  <c:v>TECHNICAL SERVICES</c:v>
                </c:pt>
                <c:pt idx="13">
                  <c:v>ENVIRONMENTAL HEALTH</c:v>
                </c:pt>
                <c:pt idx="14">
                  <c:v>SOCIAL SERVICES</c:v>
                </c:pt>
                <c:pt idx="15">
                  <c:v>DISASTER MANAGEMENT</c:v>
                </c:pt>
                <c:pt idx="16">
                  <c:v>MUNICIPAL SUPPORT</c:v>
                </c:pt>
                <c:pt idx="17">
                  <c:v>ROADS</c:v>
                </c:pt>
                <c:pt idx="18">
                  <c:v>TOURISM</c:v>
                </c:pt>
                <c:pt idx="19">
                  <c:v>SUB TOTAL</c:v>
                </c:pt>
              </c:strCache>
            </c:strRef>
          </c:cat>
          <c:val>
            <c:numRef>
              <c:f>SECTION71!$I$42:$I$64</c:f>
              <c:numCache>
                <c:formatCode>_ * #,##0_ ;_ * \-#,##0_ ;_ * "-"??_ ;_ @_ </c:formatCode>
                <c:ptCount val="20"/>
                <c:pt idx="0">
                  <c:v>17045653</c:v>
                </c:pt>
                <c:pt idx="1">
                  <c:v>2058673</c:v>
                </c:pt>
                <c:pt idx="2">
                  <c:v>3909508</c:v>
                </c:pt>
                <c:pt idx="3">
                  <c:v>13681851</c:v>
                </c:pt>
                <c:pt idx="4">
                  <c:v>6933462</c:v>
                </c:pt>
                <c:pt idx="5">
                  <c:v>4318085</c:v>
                </c:pt>
                <c:pt idx="6">
                  <c:v>1937840</c:v>
                </c:pt>
                <c:pt idx="7">
                  <c:v>1091820</c:v>
                </c:pt>
                <c:pt idx="8">
                  <c:v>0</c:v>
                </c:pt>
                <c:pt idx="9">
                  <c:v>8509282</c:v>
                </c:pt>
                <c:pt idx="10">
                  <c:v>1243720</c:v>
                </c:pt>
                <c:pt idx="11">
                  <c:v>3022587</c:v>
                </c:pt>
                <c:pt idx="12">
                  <c:v>1140413</c:v>
                </c:pt>
                <c:pt idx="13">
                  <c:v>7029318</c:v>
                </c:pt>
                <c:pt idx="14">
                  <c:v>1438573</c:v>
                </c:pt>
                <c:pt idx="15">
                  <c:v>934125</c:v>
                </c:pt>
                <c:pt idx="16">
                  <c:v>962801</c:v>
                </c:pt>
                <c:pt idx="17">
                  <c:v>1831019</c:v>
                </c:pt>
                <c:pt idx="18">
                  <c:v>4268313</c:v>
                </c:pt>
                <c:pt idx="19">
                  <c:v>81357043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667200"/>
        <c:axId val="43074304"/>
      </c:barChart>
      <c:catAx>
        <c:axId val="41667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VOTE</a:t>
                </a:r>
              </a:p>
            </c:rich>
          </c:tx>
          <c:layout>
            <c:manualLayout>
              <c:xMode val="edge"/>
              <c:yMode val="edge"/>
              <c:x val="0.4799084648953415"/>
              <c:y val="0.910496587926509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80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074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074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4.8220398876566851E-2"/>
              <c:y val="0.27777882764654416"/>
            </c:manualLayout>
          </c:layout>
          <c:overlay val="0"/>
          <c:spPr>
            <a:noFill/>
            <a:ln w="25400">
              <a:noFill/>
            </a:ln>
          </c:spPr>
        </c:title>
        <c:numFmt formatCode="_ * #,##0_ ;_ * \-#,##0_ ;_ * &quot;-&quot;??_ ;_ @_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667200"/>
        <c:crosses val="autoZero"/>
        <c:crossBetween val="between"/>
        <c:majorUnit val="5000000"/>
        <c:minorUnit val="10000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993163767441982"/>
          <c:y val="0.32407489063867018"/>
          <c:w val="0.13432844918409226"/>
          <c:h val="0.188272265966754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1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BUDGET PERFORMANCE: INCOME</a:t>
            </a:r>
          </a:p>
        </c:rich>
      </c:tx>
      <c:layout>
        <c:manualLayout>
          <c:xMode val="edge"/>
          <c:yMode val="edge"/>
          <c:x val="0.36981585552302976"/>
          <c:y val="3.32326283987915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391716540199126"/>
          <c:y val="0.19033260705692837"/>
          <c:w val="0.57949341354351191"/>
          <c:h val="0.238671046944402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SECTION71!$H$112:$H$113</c:f>
              <c:strCache>
                <c:ptCount val="1"/>
                <c:pt idx="0">
                  <c:v>ACCUMULATIVE BUDGET MONTH  10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SECTION71!$A$114:$A$118</c:f>
              <c:strCache>
                <c:ptCount val="5"/>
                <c:pt idx="0">
                  <c:v>INTEREST EARNED</c:v>
                </c:pt>
                <c:pt idx="1">
                  <c:v>INTEREST EARNED- DEBTORS</c:v>
                </c:pt>
                <c:pt idx="2">
                  <c:v>OPERATING GRANTS &amp; SUBSIDIES</c:v>
                </c:pt>
                <c:pt idx="3">
                  <c:v>OTHER INCOME</c:v>
                </c:pt>
                <c:pt idx="4">
                  <c:v>TOTAL INCOME</c:v>
                </c:pt>
              </c:strCache>
            </c:strRef>
          </c:cat>
          <c:val>
            <c:numRef>
              <c:f>SECTION71!$H$114:$H$118</c:f>
              <c:numCache>
                <c:formatCode>_ * #,##0_ ;_ * \-#,##0_ ;_ * "-"??_ ;_ @_ </c:formatCode>
                <c:ptCount val="5"/>
                <c:pt idx="0">
                  <c:v>1808333.3333333335</c:v>
                </c:pt>
                <c:pt idx="1">
                  <c:v>507280</c:v>
                </c:pt>
                <c:pt idx="2">
                  <c:v>80146009.166666672</c:v>
                </c:pt>
                <c:pt idx="3">
                  <c:v>143940</c:v>
                </c:pt>
                <c:pt idx="4">
                  <c:v>82605562.5</c:v>
                </c:pt>
              </c:numCache>
            </c:numRef>
          </c:val>
        </c:ser>
        <c:ser>
          <c:idx val="1"/>
          <c:order val="1"/>
          <c:tx>
            <c:strRef>
              <c:f>SECTION71!$I$112:$I$113</c:f>
              <c:strCache>
                <c:ptCount val="1"/>
                <c:pt idx="0">
                  <c:v>ACCUMULATIVE ACTUAL MONTH  10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SECTION71!$A$114:$A$118</c:f>
              <c:strCache>
                <c:ptCount val="5"/>
                <c:pt idx="0">
                  <c:v>INTEREST EARNED</c:v>
                </c:pt>
                <c:pt idx="1">
                  <c:v>INTEREST EARNED- DEBTORS</c:v>
                </c:pt>
                <c:pt idx="2">
                  <c:v>OPERATING GRANTS &amp; SUBSIDIES</c:v>
                </c:pt>
                <c:pt idx="3">
                  <c:v>OTHER INCOME</c:v>
                </c:pt>
                <c:pt idx="4">
                  <c:v>TOTAL INCOME</c:v>
                </c:pt>
              </c:strCache>
            </c:strRef>
          </c:cat>
          <c:val>
            <c:numRef>
              <c:f>SECTION71!$I$114:$I$118</c:f>
              <c:numCache>
                <c:formatCode>_ * #,##0_ ;_ * \-#,##0_ ;_ * "-"??_ ;_ @_ </c:formatCode>
                <c:ptCount val="5"/>
                <c:pt idx="0">
                  <c:v>1853149</c:v>
                </c:pt>
                <c:pt idx="1">
                  <c:v>831698</c:v>
                </c:pt>
                <c:pt idx="2">
                  <c:v>95905544</c:v>
                </c:pt>
                <c:pt idx="3">
                  <c:v>50927</c:v>
                </c:pt>
                <c:pt idx="4">
                  <c:v>98641318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40896"/>
        <c:axId val="94097792"/>
      </c:barChart>
      <c:catAx>
        <c:axId val="93840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</a:t>
                </a:r>
              </a:p>
            </c:rich>
          </c:tx>
          <c:layout>
            <c:manualLayout>
              <c:xMode val="edge"/>
              <c:yMode val="edge"/>
              <c:x val="0.46149517592607087"/>
              <c:y val="0.833837809548730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975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097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097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7.949312002003725E-2"/>
              <c:y val="0.24169216008119829"/>
            </c:manualLayout>
          </c:layout>
          <c:overlay val="0"/>
          <c:spPr>
            <a:noFill/>
            <a:ln w="25400">
              <a:noFill/>
            </a:ln>
          </c:spPr>
        </c:title>
        <c:numFmt formatCode="_ * #,##0_ ;_ * \-#,##0_ ;_ * &quot;-&quot;??_ ;_ @_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840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138304034063339"/>
          <c:y val="0.27492478847998986"/>
          <c:w val="0.14400943420839785"/>
          <c:h val="0.193353791501137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1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25" b="0" i="1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129</xdr:row>
      <xdr:rowOff>152400</xdr:rowOff>
    </xdr:from>
    <xdr:to>
      <xdr:col>10</xdr:col>
      <xdr:colOff>714375</xdr:colOff>
      <xdr:row>147</xdr:row>
      <xdr:rowOff>95250</xdr:rowOff>
    </xdr:to>
    <xdr:graphicFrame macro="">
      <xdr:nvGraphicFramePr>
        <xdr:cNvPr id="1552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151</xdr:row>
      <xdr:rowOff>66675</xdr:rowOff>
    </xdr:from>
    <xdr:to>
      <xdr:col>10</xdr:col>
      <xdr:colOff>561975</xdr:colOff>
      <xdr:row>170</xdr:row>
      <xdr:rowOff>142875</xdr:rowOff>
    </xdr:to>
    <xdr:graphicFrame macro="">
      <xdr:nvGraphicFramePr>
        <xdr:cNvPr id="155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D215"/>
  <sheetViews>
    <sheetView tabSelected="1" zoomScaleNormal="100" workbookViewId="0">
      <selection activeCell="A3" sqref="A3"/>
    </sheetView>
  </sheetViews>
  <sheetFormatPr defaultRowHeight="12.75" x14ac:dyDescent="0.2"/>
  <cols>
    <col min="1" max="1" width="29.140625" style="23" customWidth="1"/>
    <col min="2" max="2" width="11" style="23" customWidth="1"/>
    <col min="3" max="6" width="10.7109375" style="23" customWidth="1"/>
    <col min="7" max="7" width="13.42578125" style="23" customWidth="1"/>
    <col min="8" max="8" width="13.28515625" style="23" customWidth="1"/>
    <col min="9" max="10" width="12.85546875" style="23" customWidth="1"/>
    <col min="11" max="11" width="11.7109375" style="23" customWidth="1"/>
    <col min="12" max="12" width="11.28515625" style="72" customWidth="1"/>
    <col min="13" max="13" width="14" style="69" bestFit="1" customWidth="1"/>
    <col min="14" max="14" width="10.5703125" style="114" customWidth="1"/>
    <col min="15" max="16" width="10.140625" style="69" customWidth="1"/>
    <col min="17" max="18" width="9.7109375" style="69" customWidth="1"/>
    <col min="19" max="19" width="9.5703125" style="69" customWidth="1"/>
    <col min="20" max="20" width="9.85546875" style="69" customWidth="1"/>
    <col min="21" max="21" width="11.140625" style="69" bestFit="1" customWidth="1"/>
    <col min="22" max="22" width="9.85546875" style="69" customWidth="1"/>
    <col min="23" max="23" width="9.5703125" style="2" customWidth="1"/>
    <col min="24" max="24" width="10.140625" style="2" bestFit="1" customWidth="1"/>
    <col min="25" max="30" width="9.140625" style="2"/>
  </cols>
  <sheetData>
    <row r="1" spans="1:24" x14ac:dyDescent="0.2">
      <c r="A1" s="5"/>
      <c r="B1" s="6"/>
      <c r="C1" s="6"/>
      <c r="D1" s="6"/>
      <c r="E1" s="6"/>
      <c r="F1" s="6"/>
      <c r="G1" s="6"/>
      <c r="H1" s="6"/>
      <c r="I1" s="6"/>
      <c r="J1" s="6"/>
      <c r="K1" s="7"/>
      <c r="L1" s="67"/>
      <c r="M1" s="68"/>
      <c r="V1" s="92"/>
      <c r="W1" s="92"/>
      <c r="X1" s="92"/>
    </row>
    <row r="2" spans="1:24" x14ac:dyDescent="0.2">
      <c r="A2" s="8"/>
      <c r="B2" s="9"/>
      <c r="C2" s="9"/>
      <c r="D2" s="9"/>
      <c r="E2" s="9"/>
      <c r="F2" s="9"/>
      <c r="G2" s="9"/>
      <c r="H2" s="9"/>
      <c r="I2" s="9"/>
      <c r="J2" s="9"/>
      <c r="K2" s="10"/>
      <c r="L2" s="70"/>
      <c r="M2" s="68"/>
      <c r="V2" s="92"/>
      <c r="W2" s="92"/>
      <c r="X2" s="92"/>
    </row>
    <row r="3" spans="1:24" x14ac:dyDescent="0.2">
      <c r="A3" s="8"/>
      <c r="B3" s="9"/>
      <c r="C3" s="9"/>
      <c r="D3" s="9"/>
      <c r="E3" s="9"/>
      <c r="F3" s="9"/>
      <c r="G3" s="9"/>
      <c r="H3" s="9"/>
      <c r="I3" s="9"/>
      <c r="J3" s="9"/>
      <c r="K3" s="10"/>
      <c r="L3" s="70"/>
      <c r="M3" s="68"/>
      <c r="V3" s="92"/>
      <c r="W3" s="92"/>
      <c r="X3" s="92"/>
    </row>
    <row r="4" spans="1:24" x14ac:dyDescent="0.2">
      <c r="A4" s="8"/>
      <c r="B4" s="9"/>
      <c r="C4" s="9"/>
      <c r="D4" s="9"/>
      <c r="E4" s="9"/>
      <c r="F4" s="9"/>
      <c r="G4" s="9"/>
      <c r="H4" s="9"/>
      <c r="I4" s="9"/>
      <c r="J4" s="9"/>
      <c r="K4" s="10"/>
      <c r="L4" s="70"/>
      <c r="M4" s="68"/>
      <c r="V4" s="92"/>
      <c r="W4" s="92"/>
      <c r="X4" s="92"/>
    </row>
    <row r="5" spans="1:24" x14ac:dyDescent="0.2">
      <c r="A5" s="8"/>
      <c r="B5" s="9"/>
      <c r="C5" s="9"/>
      <c r="D5" s="9"/>
      <c r="E5" s="9"/>
      <c r="F5" s="9"/>
      <c r="G5" s="9"/>
      <c r="H5" s="9"/>
      <c r="I5" s="9"/>
      <c r="J5" s="9"/>
      <c r="K5" s="10"/>
      <c r="L5" s="70"/>
      <c r="M5" s="68"/>
      <c r="V5" s="92"/>
      <c r="W5" s="92"/>
      <c r="X5" s="92"/>
    </row>
    <row r="6" spans="1:24" x14ac:dyDescent="0.2">
      <c r="A6" s="11"/>
      <c r="B6" s="12"/>
      <c r="C6" s="12"/>
      <c r="D6" s="12"/>
      <c r="E6" s="12"/>
      <c r="F6" s="12"/>
      <c r="G6" s="12"/>
      <c r="H6" s="12"/>
      <c r="I6" s="12"/>
      <c r="J6" s="12"/>
      <c r="K6" s="13"/>
      <c r="L6" s="70"/>
      <c r="M6" s="68"/>
      <c r="V6" s="92"/>
      <c r="W6" s="92"/>
      <c r="X6" s="92"/>
    </row>
    <row r="7" spans="1:24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3"/>
      <c r="L7" s="70"/>
      <c r="M7" s="68"/>
      <c r="V7" s="92"/>
      <c r="W7" s="92"/>
      <c r="X7" s="92"/>
    </row>
    <row r="8" spans="1:24" x14ac:dyDescent="0.2">
      <c r="A8" s="11"/>
      <c r="B8" s="12"/>
      <c r="C8" s="12"/>
      <c r="D8" s="12"/>
      <c r="E8" s="12"/>
      <c r="F8" s="12"/>
      <c r="G8" s="12"/>
      <c r="H8" s="12"/>
      <c r="I8" s="12"/>
      <c r="J8" s="12"/>
      <c r="K8" s="13"/>
      <c r="L8" s="70"/>
      <c r="M8" s="68"/>
      <c r="V8" s="92"/>
      <c r="W8" s="92"/>
      <c r="X8" s="92"/>
    </row>
    <row r="9" spans="1:24" x14ac:dyDescent="0.2">
      <c r="A9" s="11"/>
      <c r="B9" s="12"/>
      <c r="C9" s="12"/>
      <c r="D9" s="12"/>
      <c r="E9" s="12"/>
      <c r="F9" s="12"/>
      <c r="G9" s="12"/>
      <c r="H9" s="12"/>
      <c r="I9" s="12"/>
      <c r="J9" s="12"/>
      <c r="K9" s="13"/>
      <c r="L9" s="70"/>
      <c r="M9" s="68"/>
      <c r="V9" s="92"/>
      <c r="W9" s="92"/>
      <c r="X9" s="92"/>
    </row>
    <row r="10" spans="1:24" x14ac:dyDescent="0.2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3"/>
      <c r="L10" s="70"/>
      <c r="M10" s="68"/>
      <c r="V10" s="92"/>
      <c r="W10" s="92"/>
      <c r="X10" s="92"/>
    </row>
    <row r="11" spans="1:24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3"/>
      <c r="L11" s="70"/>
      <c r="M11" s="68"/>
      <c r="V11" s="92"/>
      <c r="W11" s="92"/>
      <c r="X11" s="92"/>
    </row>
    <row r="12" spans="1:24" x14ac:dyDescent="0.2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3"/>
      <c r="L12" s="70"/>
      <c r="M12" s="68"/>
      <c r="V12" s="92"/>
      <c r="W12" s="92"/>
      <c r="X12" s="92"/>
    </row>
    <row r="13" spans="1:24" x14ac:dyDescent="0.2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3"/>
      <c r="L13" s="70"/>
      <c r="M13" s="68"/>
      <c r="V13" s="92"/>
      <c r="W13" s="92"/>
      <c r="X13" s="92"/>
    </row>
    <row r="14" spans="1:24" ht="18.75" x14ac:dyDescent="0.3">
      <c r="A14" s="143" t="s">
        <v>37</v>
      </c>
      <c r="B14" s="144"/>
      <c r="C14" s="144"/>
      <c r="D14" s="144"/>
      <c r="E14" s="144"/>
      <c r="F14" s="144"/>
      <c r="G14" s="144"/>
      <c r="H14" s="144"/>
      <c r="I14" s="144"/>
      <c r="J14" s="144"/>
      <c r="K14" s="145"/>
      <c r="L14" s="70"/>
      <c r="M14" s="68"/>
      <c r="V14" s="92"/>
      <c r="W14" s="92"/>
      <c r="X14" s="92"/>
    </row>
    <row r="15" spans="1:24" ht="18.75" x14ac:dyDescent="0.3">
      <c r="A15" s="143"/>
      <c r="B15" s="144"/>
      <c r="C15" s="144"/>
      <c r="D15" s="144"/>
      <c r="E15" s="144"/>
      <c r="F15" s="144"/>
      <c r="G15" s="144"/>
      <c r="H15" s="144"/>
      <c r="I15" s="144"/>
      <c r="J15" s="144"/>
      <c r="K15" s="145"/>
      <c r="L15" s="70"/>
      <c r="M15" s="68"/>
      <c r="V15" s="92"/>
      <c r="W15" s="92"/>
      <c r="X15" s="92"/>
    </row>
    <row r="16" spans="1:24" ht="18.75" x14ac:dyDescent="0.3">
      <c r="A16" s="61"/>
      <c r="B16" s="62"/>
      <c r="C16" s="62"/>
      <c r="D16" s="62"/>
      <c r="E16" s="62"/>
      <c r="F16" s="62"/>
      <c r="G16" s="62"/>
      <c r="H16" s="62"/>
      <c r="I16" s="62"/>
      <c r="J16" s="62"/>
      <c r="K16" s="63"/>
      <c r="L16" s="70"/>
      <c r="M16" s="68"/>
      <c r="V16" s="92"/>
      <c r="W16" s="92"/>
      <c r="X16" s="92"/>
    </row>
    <row r="17" spans="1:24" ht="18.75" x14ac:dyDescent="0.3">
      <c r="A17" s="61"/>
      <c r="B17" s="62"/>
      <c r="C17" s="62"/>
      <c r="D17" s="62"/>
      <c r="E17" s="62"/>
      <c r="F17" s="62"/>
      <c r="G17" s="62"/>
      <c r="H17" s="62"/>
      <c r="I17" s="62"/>
      <c r="J17" s="62"/>
      <c r="K17" s="63"/>
      <c r="L17" s="70"/>
      <c r="M17" s="68"/>
      <c r="V17" s="92"/>
      <c r="W17" s="92"/>
      <c r="X17" s="92"/>
    </row>
    <row r="18" spans="1:24" ht="25.5" x14ac:dyDescent="0.35">
      <c r="A18" s="143" t="s">
        <v>82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5"/>
      <c r="L18" s="71"/>
      <c r="M18" s="68"/>
      <c r="V18" s="92"/>
      <c r="W18" s="92"/>
      <c r="X18" s="92"/>
    </row>
    <row r="19" spans="1:24" ht="18.75" x14ac:dyDescent="0.3">
      <c r="A19" s="64"/>
      <c r="B19" s="65"/>
      <c r="C19" s="65"/>
      <c r="D19" s="65"/>
      <c r="E19" s="65"/>
      <c r="F19" s="65"/>
      <c r="G19" s="65"/>
      <c r="H19" s="65"/>
      <c r="I19" s="65"/>
      <c r="J19" s="65"/>
      <c r="K19" s="66"/>
      <c r="L19" s="70"/>
      <c r="M19" s="68"/>
      <c r="V19" s="92"/>
      <c r="W19" s="92"/>
      <c r="X19" s="92"/>
    </row>
    <row r="20" spans="1:24" ht="18.75" x14ac:dyDescent="0.3">
      <c r="A20" s="64"/>
      <c r="B20" s="65"/>
      <c r="C20" s="65"/>
      <c r="D20" s="65"/>
      <c r="E20" s="65"/>
      <c r="F20" s="65"/>
      <c r="G20" s="65"/>
      <c r="H20" s="65"/>
      <c r="I20" s="65"/>
      <c r="J20" s="65"/>
      <c r="K20" s="66"/>
      <c r="L20" s="70"/>
      <c r="M20" s="68"/>
      <c r="V20" s="92"/>
      <c r="W20" s="92"/>
      <c r="X20" s="92"/>
    </row>
    <row r="21" spans="1:24" ht="18.75" x14ac:dyDescent="0.3">
      <c r="A21" s="64"/>
      <c r="B21" s="65"/>
      <c r="C21" s="65"/>
      <c r="D21" s="65"/>
      <c r="E21" s="65"/>
      <c r="F21" s="65"/>
      <c r="G21" s="65"/>
      <c r="H21" s="65"/>
      <c r="I21" s="65"/>
      <c r="J21" s="65"/>
      <c r="K21" s="66"/>
      <c r="L21" s="70"/>
      <c r="M21" s="68"/>
      <c r="V21" s="92"/>
      <c r="W21" s="92"/>
      <c r="X21" s="92"/>
    </row>
    <row r="22" spans="1:24" ht="18.75" x14ac:dyDescent="0.3">
      <c r="A22" s="64"/>
      <c r="B22" s="65"/>
      <c r="C22" s="65"/>
      <c r="D22" s="65"/>
      <c r="E22" s="65"/>
      <c r="F22" s="65"/>
      <c r="G22" s="65"/>
      <c r="H22" s="65"/>
      <c r="I22" s="65"/>
      <c r="J22" s="65"/>
      <c r="K22" s="66"/>
      <c r="L22" s="70"/>
      <c r="M22" s="68"/>
      <c r="V22" s="92"/>
      <c r="W22" s="92"/>
      <c r="X22" s="92"/>
    </row>
    <row r="23" spans="1:24" ht="18.75" x14ac:dyDescent="0.3">
      <c r="A23" s="143" t="s">
        <v>38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5"/>
      <c r="L23" s="70"/>
      <c r="M23" s="68"/>
      <c r="V23" s="92"/>
      <c r="W23" s="92"/>
      <c r="X23" s="92"/>
    </row>
    <row r="24" spans="1:24" ht="18.75" x14ac:dyDescent="0.3">
      <c r="A24" s="64"/>
      <c r="B24" s="65"/>
      <c r="C24" s="65"/>
      <c r="D24" s="65"/>
      <c r="E24" s="65"/>
      <c r="F24" s="65"/>
      <c r="G24" s="65"/>
      <c r="H24" s="65"/>
      <c r="I24" s="65"/>
      <c r="J24" s="65"/>
      <c r="K24" s="66"/>
      <c r="L24" s="70"/>
      <c r="M24" s="68"/>
      <c r="V24" s="92"/>
      <c r="W24" s="92"/>
      <c r="X24" s="92"/>
    </row>
    <row r="25" spans="1:24" x14ac:dyDescent="0.2">
      <c r="A25" s="14"/>
      <c r="B25" s="15"/>
      <c r="C25" s="15"/>
      <c r="D25" s="15"/>
      <c r="E25" s="15"/>
      <c r="F25" s="15"/>
      <c r="G25" s="15"/>
      <c r="H25" s="15"/>
      <c r="I25" s="15"/>
      <c r="J25" s="15"/>
      <c r="K25" s="16"/>
      <c r="L25" s="70"/>
      <c r="M25" s="68"/>
      <c r="V25" s="92"/>
      <c r="W25" s="92"/>
      <c r="X25" s="92"/>
    </row>
    <row r="26" spans="1:24" x14ac:dyDescent="0.2">
      <c r="A26" s="14"/>
      <c r="B26" s="15"/>
      <c r="C26" s="15"/>
      <c r="D26" s="15"/>
      <c r="E26" s="15"/>
      <c r="F26" s="15"/>
      <c r="G26" s="15"/>
      <c r="H26" s="15"/>
      <c r="I26" s="15"/>
      <c r="J26" s="15"/>
      <c r="K26" s="16"/>
      <c r="L26" s="70"/>
      <c r="M26" s="68"/>
      <c r="V26" s="92"/>
      <c r="W26" s="92"/>
      <c r="X26" s="92"/>
    </row>
    <row r="27" spans="1:24" x14ac:dyDescent="0.2">
      <c r="A27" s="14"/>
      <c r="B27" s="15"/>
      <c r="C27" s="15"/>
      <c r="D27" s="15"/>
      <c r="E27" s="15"/>
      <c r="F27" s="15"/>
      <c r="G27" s="15"/>
      <c r="H27" s="15"/>
      <c r="I27" s="15"/>
      <c r="J27" s="15"/>
      <c r="K27" s="16"/>
      <c r="L27" s="70"/>
      <c r="M27" s="68"/>
      <c r="V27" s="92"/>
      <c r="W27" s="92"/>
      <c r="X27" s="92"/>
    </row>
    <row r="28" spans="1:24" x14ac:dyDescent="0.2">
      <c r="A28" s="14"/>
      <c r="B28" s="15"/>
      <c r="C28" s="15"/>
      <c r="D28" s="15"/>
      <c r="E28" s="15"/>
      <c r="F28" s="15"/>
      <c r="G28" s="15"/>
      <c r="H28" s="15"/>
      <c r="I28" s="15"/>
      <c r="J28" s="15"/>
      <c r="K28" s="16"/>
      <c r="L28" s="70"/>
      <c r="M28" s="68"/>
      <c r="V28" s="92"/>
      <c r="W28" s="92"/>
      <c r="X28" s="92"/>
    </row>
    <row r="29" spans="1:24" x14ac:dyDescent="0.2">
      <c r="A29" s="14"/>
      <c r="B29" s="15"/>
      <c r="C29" s="15"/>
      <c r="D29" s="15"/>
      <c r="E29" s="15"/>
      <c r="F29" s="15"/>
      <c r="G29" s="15"/>
      <c r="H29" s="15"/>
      <c r="I29" s="15"/>
      <c r="J29" s="15"/>
      <c r="K29" s="16"/>
      <c r="L29" s="70"/>
      <c r="M29" s="68"/>
      <c r="V29" s="92"/>
      <c r="W29" s="92"/>
      <c r="X29" s="92"/>
    </row>
    <row r="30" spans="1:24" x14ac:dyDescent="0.2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6"/>
      <c r="L30" s="70"/>
      <c r="M30" s="68"/>
      <c r="V30" s="92"/>
      <c r="W30" s="92"/>
      <c r="X30" s="92"/>
    </row>
    <row r="31" spans="1:24" x14ac:dyDescent="0.2">
      <c r="A31" s="14"/>
      <c r="B31" s="15"/>
      <c r="C31" s="15"/>
      <c r="D31" s="15"/>
      <c r="E31" s="15"/>
      <c r="F31" s="15"/>
      <c r="G31" s="15"/>
      <c r="H31" s="15"/>
      <c r="I31" s="15"/>
      <c r="J31" s="15"/>
      <c r="K31" s="16"/>
      <c r="L31" s="70"/>
      <c r="M31" s="68"/>
      <c r="V31" s="92"/>
      <c r="W31" s="92"/>
      <c r="X31" s="92"/>
    </row>
    <row r="32" spans="1:24" x14ac:dyDescent="0.2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6"/>
      <c r="L32" s="70"/>
      <c r="M32" s="68"/>
      <c r="V32" s="92"/>
      <c r="W32" s="92"/>
      <c r="X32" s="92"/>
    </row>
    <row r="33" spans="1:24" x14ac:dyDescent="0.2">
      <c r="A33" s="17"/>
      <c r="B33" s="18"/>
      <c r="C33" s="18"/>
      <c r="D33" s="18"/>
      <c r="E33" s="18"/>
      <c r="F33" s="18"/>
      <c r="G33" s="18"/>
      <c r="H33" s="18"/>
      <c r="I33" s="18"/>
      <c r="J33" s="18"/>
      <c r="K33" s="19"/>
      <c r="L33" s="70"/>
      <c r="M33" s="68"/>
      <c r="V33" s="92"/>
      <c r="W33" s="92"/>
      <c r="X33" s="92"/>
    </row>
    <row r="34" spans="1:24" x14ac:dyDescent="0.2">
      <c r="A34" s="15" t="s">
        <v>18</v>
      </c>
      <c r="B34" s="15"/>
      <c r="C34" s="9"/>
      <c r="D34" s="9"/>
      <c r="E34" s="9"/>
      <c r="F34" s="9"/>
      <c r="G34" s="9"/>
      <c r="H34" s="9"/>
      <c r="I34" s="9"/>
      <c r="J34" s="9"/>
      <c r="K34" s="9"/>
      <c r="L34" s="70"/>
      <c r="M34" s="68"/>
      <c r="V34" s="92"/>
      <c r="W34" s="92"/>
      <c r="X34" s="92"/>
    </row>
    <row r="35" spans="1:24" x14ac:dyDescent="0.2">
      <c r="A35" s="20" t="s">
        <v>58</v>
      </c>
      <c r="B35" s="20"/>
      <c r="C35" s="9"/>
      <c r="D35" s="9"/>
      <c r="E35" s="9"/>
      <c r="F35" s="9"/>
      <c r="G35" s="9"/>
      <c r="H35" s="9"/>
      <c r="I35" s="9"/>
      <c r="J35" s="9"/>
      <c r="K35" s="9"/>
      <c r="L35" s="70"/>
      <c r="M35" s="68"/>
      <c r="V35" s="92"/>
      <c r="W35" s="92"/>
      <c r="X35" s="92"/>
    </row>
    <row r="36" spans="1:24" x14ac:dyDescent="0.2">
      <c r="A36" s="91" t="s">
        <v>81</v>
      </c>
      <c r="B36" s="91"/>
      <c r="C36" s="9"/>
      <c r="D36" s="9"/>
      <c r="E36" s="9"/>
      <c r="F36" s="9"/>
      <c r="G36" s="9"/>
      <c r="H36" s="9"/>
      <c r="I36" s="9"/>
      <c r="J36" s="9"/>
      <c r="K36" s="9"/>
      <c r="L36" s="70"/>
      <c r="M36" s="68"/>
      <c r="V36" s="92"/>
      <c r="W36" s="92"/>
      <c r="X36" s="92"/>
    </row>
    <row r="37" spans="1:24" x14ac:dyDescent="0.2">
      <c r="A37" s="22"/>
      <c r="B37" s="22"/>
      <c r="L37" s="70"/>
      <c r="M37" s="68"/>
      <c r="V37" s="92"/>
      <c r="W37" s="92"/>
      <c r="X37" s="92"/>
    </row>
    <row r="38" spans="1:24" ht="48" customHeight="1" x14ac:dyDescent="0.2">
      <c r="A38" s="148" t="s">
        <v>30</v>
      </c>
      <c r="B38" s="149"/>
      <c r="C38" s="149"/>
      <c r="D38" s="149"/>
      <c r="E38" s="149"/>
      <c r="F38" s="149"/>
      <c r="G38" s="149"/>
      <c r="H38" s="149"/>
      <c r="I38" s="149"/>
      <c r="J38" s="149"/>
      <c r="K38" s="150"/>
      <c r="V38" s="92"/>
      <c r="W38" s="92"/>
      <c r="X38" s="92"/>
    </row>
    <row r="39" spans="1:24" x14ac:dyDescent="0.2">
      <c r="A39" s="140" t="s">
        <v>18</v>
      </c>
      <c r="B39" s="141"/>
      <c r="C39" s="142"/>
      <c r="D39" s="142"/>
      <c r="E39" s="142"/>
      <c r="F39" s="142"/>
      <c r="G39" s="142"/>
      <c r="H39" s="142"/>
      <c r="I39" s="24"/>
      <c r="J39" s="24"/>
      <c r="K39" s="25"/>
      <c r="V39" s="92"/>
      <c r="W39" s="92"/>
      <c r="X39" s="92"/>
    </row>
    <row r="40" spans="1:24" ht="45" x14ac:dyDescent="0.2">
      <c r="A40" s="26"/>
      <c r="B40" s="128" t="s">
        <v>79</v>
      </c>
      <c r="C40" s="119" t="s">
        <v>78</v>
      </c>
      <c r="D40" s="128" t="s">
        <v>80</v>
      </c>
      <c r="E40" s="58" t="s">
        <v>3</v>
      </c>
      <c r="F40" s="58" t="s">
        <v>2</v>
      </c>
      <c r="G40" s="56" t="s">
        <v>57</v>
      </c>
      <c r="H40" s="55" t="s">
        <v>51</v>
      </c>
      <c r="I40" s="55" t="s">
        <v>52</v>
      </c>
      <c r="J40" s="56" t="s">
        <v>56</v>
      </c>
      <c r="K40" s="28" t="s">
        <v>36</v>
      </c>
      <c r="V40" s="92"/>
      <c r="W40" s="92"/>
      <c r="X40" s="92"/>
    </row>
    <row r="41" spans="1:24" x14ac:dyDescent="0.2">
      <c r="A41" s="29" t="s">
        <v>1</v>
      </c>
      <c r="B41" s="121" t="s">
        <v>73</v>
      </c>
      <c r="C41" s="87" t="s">
        <v>73</v>
      </c>
      <c r="D41" s="87" t="s">
        <v>73</v>
      </c>
      <c r="E41" s="57" t="str">
        <f>A18</f>
        <v>MONTH  10</v>
      </c>
      <c r="F41" s="57" t="str">
        <f>A18</f>
        <v>MONTH  10</v>
      </c>
      <c r="G41" s="57" t="str">
        <f>A18</f>
        <v>MONTH  10</v>
      </c>
      <c r="H41" s="57" t="str">
        <f>A18</f>
        <v>MONTH  10</v>
      </c>
      <c r="I41" s="57" t="str">
        <f>A18</f>
        <v>MONTH  10</v>
      </c>
      <c r="J41" s="57" t="str">
        <f>A18</f>
        <v>MONTH  10</v>
      </c>
      <c r="K41" s="30"/>
      <c r="M41" s="69" t="s">
        <v>39</v>
      </c>
      <c r="N41" s="114" t="s">
        <v>40</v>
      </c>
      <c r="O41" s="69" t="s">
        <v>41</v>
      </c>
      <c r="P41" s="69" t="s">
        <v>42</v>
      </c>
      <c r="Q41" s="69" t="s">
        <v>43</v>
      </c>
      <c r="R41" s="69" t="s">
        <v>44</v>
      </c>
      <c r="S41" s="69" t="s">
        <v>45</v>
      </c>
      <c r="T41" s="69" t="s">
        <v>46</v>
      </c>
      <c r="U41" s="69" t="s">
        <v>47</v>
      </c>
      <c r="V41" s="92" t="s">
        <v>48</v>
      </c>
      <c r="W41" s="92" t="s">
        <v>49</v>
      </c>
      <c r="X41" s="92" t="s">
        <v>50</v>
      </c>
    </row>
    <row r="42" spans="1:24" x14ac:dyDescent="0.2">
      <c r="A42" s="31" t="s">
        <v>4</v>
      </c>
      <c r="B42" s="122">
        <v>12120267</v>
      </c>
      <c r="C42" s="32">
        <f>17836688-60000</f>
        <v>17776688</v>
      </c>
      <c r="D42" s="33">
        <f>18948552-60000</f>
        <v>18888552</v>
      </c>
      <c r="E42" s="33">
        <f>D42/12</f>
        <v>1574046</v>
      </c>
      <c r="F42" s="33">
        <f>V42-U42</f>
        <v>1752322</v>
      </c>
      <c r="G42" s="59">
        <f>F42/E42</f>
        <v>1.1132597141379603</v>
      </c>
      <c r="H42" s="33">
        <f>D42/12*10</f>
        <v>15740460</v>
      </c>
      <c r="I42" s="32">
        <f>V42</f>
        <v>17045653</v>
      </c>
      <c r="J42" s="53">
        <f t="shared" ref="J42:J63" si="0">I42/H42</f>
        <v>1.0829196224252657</v>
      </c>
      <c r="K42" s="34">
        <f>+E42*2</f>
        <v>3148092</v>
      </c>
      <c r="M42" s="90">
        <v>775044</v>
      </c>
      <c r="N42" s="114">
        <v>2048793</v>
      </c>
      <c r="O42" s="73">
        <v>3314500</v>
      </c>
      <c r="P42" s="69">
        <v>5227218</v>
      </c>
      <c r="Q42" s="69">
        <v>7029480</v>
      </c>
      <c r="R42" s="69">
        <v>9279581</v>
      </c>
      <c r="S42" s="69">
        <v>12242868</v>
      </c>
      <c r="T42" s="69">
        <v>14291535</v>
      </c>
      <c r="U42" s="69">
        <v>15293331</v>
      </c>
      <c r="V42" s="92">
        <v>17045653</v>
      </c>
      <c r="W42" s="92"/>
      <c r="X42" s="92"/>
    </row>
    <row r="43" spans="1:24" x14ac:dyDescent="0.2">
      <c r="A43" s="31" t="s">
        <v>5</v>
      </c>
      <c r="B43" s="122">
        <v>3567752</v>
      </c>
      <c r="C43" s="33">
        <f>2670335-58000</f>
        <v>2612335</v>
      </c>
      <c r="D43" s="33">
        <f>2742236-58000</f>
        <v>2684236</v>
      </c>
      <c r="E43" s="33">
        <f>D43/12</f>
        <v>223686.33333333334</v>
      </c>
      <c r="F43" s="33">
        <f>V43-U43</f>
        <v>172900</v>
      </c>
      <c r="G43" s="59">
        <f>F43/E43</f>
        <v>0.77295737036534784</v>
      </c>
      <c r="H43" s="33">
        <f>D43/12*10</f>
        <v>2236863.3333333335</v>
      </c>
      <c r="I43" s="33">
        <f>V43</f>
        <v>2058673</v>
      </c>
      <c r="J43" s="53">
        <f t="shared" si="0"/>
        <v>0.92033919521234342</v>
      </c>
      <c r="K43" s="34">
        <f>+E43*2</f>
        <v>447372.66666666669</v>
      </c>
      <c r="M43" s="90">
        <v>175279</v>
      </c>
      <c r="N43" s="114">
        <v>370313</v>
      </c>
      <c r="O43" s="73">
        <v>534174</v>
      </c>
      <c r="P43" s="69">
        <v>769020</v>
      </c>
      <c r="Q43" s="69">
        <v>947575</v>
      </c>
      <c r="R43" s="69">
        <v>1115320</v>
      </c>
      <c r="S43" s="69">
        <v>1298271</v>
      </c>
      <c r="T43" s="69">
        <v>1503121</v>
      </c>
      <c r="U43" s="69">
        <v>1885773</v>
      </c>
      <c r="V43" s="92">
        <v>2058673</v>
      </c>
      <c r="W43" s="92"/>
      <c r="X43" s="92"/>
    </row>
    <row r="44" spans="1:24" x14ac:dyDescent="0.2">
      <c r="A44" s="31" t="s">
        <v>6</v>
      </c>
      <c r="B44" s="122">
        <v>6183159</v>
      </c>
      <c r="C44" s="33">
        <f>5637309-69920</f>
        <v>5567389</v>
      </c>
      <c r="D44" s="33">
        <f>4897060-70654</f>
        <v>4826406</v>
      </c>
      <c r="E44" s="33">
        <f t="shared" ref="E44:E63" si="1">D44/12</f>
        <v>402200.5</v>
      </c>
      <c r="F44" s="33">
        <f t="shared" ref="F44:F63" si="2">V44-U44</f>
        <v>382134</v>
      </c>
      <c r="G44" s="59">
        <f t="shared" ref="G44:G63" si="3">F44/E44</f>
        <v>0.95010821717029192</v>
      </c>
      <c r="H44" s="33">
        <f t="shared" ref="H44:H63" si="4">D44/12*10</f>
        <v>4022005</v>
      </c>
      <c r="I44" s="33">
        <f t="shared" ref="I44:I63" si="5">V44</f>
        <v>3909508</v>
      </c>
      <c r="J44" s="53">
        <f t="shared" si="0"/>
        <v>0.97202962204174281</v>
      </c>
      <c r="K44" s="34">
        <f t="shared" ref="K44:K63" si="6">+E44*2</f>
        <v>804401</v>
      </c>
      <c r="M44" s="90">
        <v>433662</v>
      </c>
      <c r="N44" s="114">
        <v>913232</v>
      </c>
      <c r="O44" s="73">
        <v>1201456</v>
      </c>
      <c r="P44" s="69">
        <v>1652036</v>
      </c>
      <c r="Q44" s="69">
        <v>2010326</v>
      </c>
      <c r="R44" s="69">
        <v>2366148</v>
      </c>
      <c r="S44" s="69">
        <v>2847622</v>
      </c>
      <c r="T44" s="69">
        <v>3165251</v>
      </c>
      <c r="U44" s="69">
        <v>3527374</v>
      </c>
      <c r="V44" s="92">
        <v>3909508</v>
      </c>
      <c r="W44" s="92"/>
      <c r="X44" s="92"/>
    </row>
    <row r="45" spans="1:24" x14ac:dyDescent="0.2">
      <c r="A45" s="31" t="s">
        <v>7</v>
      </c>
      <c r="B45" s="122">
        <v>17502184</v>
      </c>
      <c r="C45" s="33">
        <f>18790988-50000</f>
        <v>18740988</v>
      </c>
      <c r="D45" s="33">
        <f>18590355-101676</f>
        <v>18488679</v>
      </c>
      <c r="E45" s="33">
        <f t="shared" si="1"/>
        <v>1540723.25</v>
      </c>
      <c r="F45" s="33">
        <f t="shared" si="2"/>
        <v>2409954</v>
      </c>
      <c r="G45" s="59">
        <f t="shared" si="3"/>
        <v>1.564170593258718</v>
      </c>
      <c r="H45" s="33">
        <f t="shared" si="4"/>
        <v>15407232.5</v>
      </c>
      <c r="I45" s="33">
        <f t="shared" si="5"/>
        <v>13681851</v>
      </c>
      <c r="J45" s="53">
        <f t="shared" si="0"/>
        <v>0.88801483329338993</v>
      </c>
      <c r="K45" s="34">
        <f t="shared" si="6"/>
        <v>3081446.5</v>
      </c>
      <c r="M45" s="90">
        <v>260846</v>
      </c>
      <c r="N45" s="114">
        <v>1109391</v>
      </c>
      <c r="O45" s="73">
        <f>1339446+1454878</f>
        <v>2794324</v>
      </c>
      <c r="P45" s="69">
        <v>5552748</v>
      </c>
      <c r="Q45" s="69">
        <f>2189280+4177346</f>
        <v>6366626</v>
      </c>
      <c r="R45" s="69">
        <v>9040581</v>
      </c>
      <c r="S45" s="69">
        <v>10218951</v>
      </c>
      <c r="T45" s="69">
        <v>10752450</v>
      </c>
      <c r="U45" s="69">
        <v>11271897</v>
      </c>
      <c r="V45" s="92">
        <v>13681851</v>
      </c>
      <c r="W45" s="92"/>
      <c r="X45" s="92"/>
    </row>
    <row r="46" spans="1:24" x14ac:dyDescent="0.2">
      <c r="A46" s="31" t="s">
        <v>8</v>
      </c>
      <c r="B46" s="122">
        <v>6700939</v>
      </c>
      <c r="C46" s="33">
        <f>9904885-200000</f>
        <v>9704885</v>
      </c>
      <c r="D46" s="33">
        <f>8824901-200000</f>
        <v>8624901</v>
      </c>
      <c r="E46" s="33">
        <f t="shared" si="1"/>
        <v>718741.75</v>
      </c>
      <c r="F46" s="33">
        <f t="shared" si="2"/>
        <v>515077</v>
      </c>
      <c r="G46" s="59">
        <f t="shared" si="3"/>
        <v>0.71663709531274622</v>
      </c>
      <c r="H46" s="33">
        <f t="shared" si="4"/>
        <v>7187417.5</v>
      </c>
      <c r="I46" s="33">
        <f t="shared" si="5"/>
        <v>6933462</v>
      </c>
      <c r="J46" s="53">
        <f t="shared" si="0"/>
        <v>0.96466665530421736</v>
      </c>
      <c r="K46" s="34">
        <f t="shared" si="6"/>
        <v>1437483.5</v>
      </c>
      <c r="M46" s="90">
        <v>254799</v>
      </c>
      <c r="N46" s="114">
        <v>1042842</v>
      </c>
      <c r="O46" s="73">
        <v>1294899</v>
      </c>
      <c r="P46" s="69">
        <v>2425662</v>
      </c>
      <c r="Q46" s="69">
        <v>3199914</v>
      </c>
      <c r="R46" s="69">
        <v>4289427</v>
      </c>
      <c r="S46" s="69">
        <v>4869780</v>
      </c>
      <c r="T46" s="69">
        <v>5876925</v>
      </c>
      <c r="U46" s="69">
        <v>6418385</v>
      </c>
      <c r="V46" s="92">
        <v>6933462</v>
      </c>
      <c r="W46" s="92"/>
      <c r="X46" s="92"/>
    </row>
    <row r="47" spans="1:24" x14ac:dyDescent="0.2">
      <c r="A47" s="31" t="s">
        <v>9</v>
      </c>
      <c r="B47" s="122">
        <v>6756598</v>
      </c>
      <c r="C47" s="33">
        <v>6958426</v>
      </c>
      <c r="D47" s="33">
        <v>6081820</v>
      </c>
      <c r="E47" s="33">
        <f t="shared" si="1"/>
        <v>506818.33333333331</v>
      </c>
      <c r="F47" s="33">
        <f t="shared" si="2"/>
        <v>354581</v>
      </c>
      <c r="G47" s="59">
        <f t="shared" si="3"/>
        <v>0.69962149488146641</v>
      </c>
      <c r="H47" s="33">
        <f t="shared" si="4"/>
        <v>5068183.333333333</v>
      </c>
      <c r="I47" s="33">
        <f t="shared" si="5"/>
        <v>4318085</v>
      </c>
      <c r="J47" s="53">
        <f t="shared" si="0"/>
        <v>0.85199857937262202</v>
      </c>
      <c r="K47" s="34">
        <f t="shared" si="6"/>
        <v>1013636.6666666666</v>
      </c>
      <c r="M47" s="90">
        <v>422069</v>
      </c>
      <c r="N47" s="114">
        <v>855422</v>
      </c>
      <c r="O47" s="73">
        <v>1347719</v>
      </c>
      <c r="P47" s="69">
        <v>1770518</v>
      </c>
      <c r="Q47" s="69">
        <v>2189488</v>
      </c>
      <c r="R47" s="69">
        <v>2548077</v>
      </c>
      <c r="S47" s="69">
        <v>2903398</v>
      </c>
      <c r="T47" s="69">
        <v>3383860</v>
      </c>
      <c r="U47" s="69">
        <v>3963504</v>
      </c>
      <c r="V47" s="92">
        <v>4318085</v>
      </c>
      <c r="W47" s="92"/>
      <c r="X47" s="92"/>
    </row>
    <row r="48" spans="1:24" x14ac:dyDescent="0.2">
      <c r="A48" s="31" t="s">
        <v>64</v>
      </c>
      <c r="B48" s="122">
        <v>2311764</v>
      </c>
      <c r="C48" s="33">
        <f>2478974-10000</f>
        <v>2468974</v>
      </c>
      <c r="D48" s="33">
        <f>2481117-10000</f>
        <v>2471117</v>
      </c>
      <c r="E48" s="33">
        <f t="shared" si="1"/>
        <v>205926.41666666666</v>
      </c>
      <c r="F48" s="33">
        <f t="shared" si="2"/>
        <v>196383</v>
      </c>
      <c r="G48" s="59">
        <f t="shared" si="3"/>
        <v>0.95365618058554091</v>
      </c>
      <c r="H48" s="33">
        <f t="shared" si="4"/>
        <v>2059264.1666666665</v>
      </c>
      <c r="I48" s="33">
        <f t="shared" si="5"/>
        <v>1937840</v>
      </c>
      <c r="J48" s="53">
        <f>I48/H48</f>
        <v>0.9410351674971279</v>
      </c>
      <c r="K48" s="34">
        <f t="shared" si="6"/>
        <v>411852.83333333331</v>
      </c>
      <c r="M48" s="90">
        <v>127270</v>
      </c>
      <c r="N48" s="114">
        <v>290446</v>
      </c>
      <c r="O48" s="73">
        <v>475020</v>
      </c>
      <c r="P48" s="69">
        <v>698856</v>
      </c>
      <c r="Q48" s="69">
        <v>898313</v>
      </c>
      <c r="R48" s="69">
        <v>1087405</v>
      </c>
      <c r="S48" s="69">
        <v>1329728</v>
      </c>
      <c r="T48" s="69">
        <v>1549054</v>
      </c>
      <c r="U48" s="69">
        <v>1741457</v>
      </c>
      <c r="V48" s="92">
        <v>1937840</v>
      </c>
      <c r="W48" s="92"/>
      <c r="X48" s="92"/>
    </row>
    <row r="49" spans="1:24" x14ac:dyDescent="0.2">
      <c r="A49" s="31" t="s">
        <v>65</v>
      </c>
      <c r="B49" s="122">
        <v>1717229</v>
      </c>
      <c r="C49" s="33">
        <f>2257229-845000</f>
        <v>1412229</v>
      </c>
      <c r="D49" s="33">
        <f>2612381-845000</f>
        <v>1767381</v>
      </c>
      <c r="E49" s="33">
        <f t="shared" si="1"/>
        <v>147281.75</v>
      </c>
      <c r="F49" s="33">
        <f t="shared" si="2"/>
        <v>107379</v>
      </c>
      <c r="G49" s="59">
        <f t="shared" si="3"/>
        <v>0.72907199975557058</v>
      </c>
      <c r="H49" s="33">
        <f t="shared" si="4"/>
        <v>1472817.5</v>
      </c>
      <c r="I49" s="33">
        <f t="shared" si="5"/>
        <v>1091820</v>
      </c>
      <c r="J49" s="53">
        <f>I49/H49</f>
        <v>0.74131384234638709</v>
      </c>
      <c r="K49" s="34">
        <f t="shared" si="6"/>
        <v>294563.5</v>
      </c>
      <c r="M49" s="90">
        <v>97227</v>
      </c>
      <c r="N49" s="114">
        <v>190835</v>
      </c>
      <c r="O49" s="73">
        <v>285020</v>
      </c>
      <c r="P49" s="69">
        <v>398435</v>
      </c>
      <c r="Q49" s="69">
        <v>541832</v>
      </c>
      <c r="R49" s="69">
        <v>638131</v>
      </c>
      <c r="S49" s="69">
        <v>742226</v>
      </c>
      <c r="T49" s="69">
        <v>852881</v>
      </c>
      <c r="U49" s="69">
        <v>984441</v>
      </c>
      <c r="V49" s="92">
        <v>1091820</v>
      </c>
      <c r="W49" s="92"/>
      <c r="X49" s="92"/>
    </row>
    <row r="50" spans="1:24" x14ac:dyDescent="0.2">
      <c r="A50" s="31" t="s">
        <v>66</v>
      </c>
      <c r="B50" s="122">
        <v>659133</v>
      </c>
      <c r="C50" s="33">
        <v>0</v>
      </c>
      <c r="D50" s="33">
        <v>0</v>
      </c>
      <c r="E50" s="33">
        <f t="shared" si="1"/>
        <v>0</v>
      </c>
      <c r="F50" s="33">
        <f t="shared" si="2"/>
        <v>0</v>
      </c>
      <c r="G50" s="59">
        <v>0</v>
      </c>
      <c r="H50" s="33">
        <f t="shared" si="4"/>
        <v>0</v>
      </c>
      <c r="I50" s="33">
        <f t="shared" si="5"/>
        <v>0</v>
      </c>
      <c r="J50" s="53">
        <v>0</v>
      </c>
      <c r="K50" s="34">
        <f t="shared" si="6"/>
        <v>0</v>
      </c>
      <c r="M50" s="90">
        <v>42262</v>
      </c>
      <c r="N50" s="114">
        <v>44093</v>
      </c>
      <c r="O50" s="73">
        <v>46432</v>
      </c>
      <c r="P50" s="69">
        <v>48513</v>
      </c>
      <c r="Q50" s="69">
        <v>0</v>
      </c>
      <c r="R50" s="69">
        <v>0</v>
      </c>
      <c r="V50" s="92"/>
      <c r="W50" s="92"/>
      <c r="X50" s="92"/>
    </row>
    <row r="51" spans="1:24" x14ac:dyDescent="0.2">
      <c r="A51" s="31" t="s">
        <v>10</v>
      </c>
      <c r="B51" s="122">
        <v>12286462</v>
      </c>
      <c r="C51" s="33">
        <f>12460364-140000</f>
        <v>12320364</v>
      </c>
      <c r="D51" s="33">
        <f>12073867-140000</f>
        <v>11933867</v>
      </c>
      <c r="E51" s="33">
        <f t="shared" si="1"/>
        <v>994488.91666666663</v>
      </c>
      <c r="F51" s="33">
        <f t="shared" si="2"/>
        <v>526392</v>
      </c>
      <c r="G51" s="59">
        <f t="shared" si="3"/>
        <v>0.52930906637387531</v>
      </c>
      <c r="H51" s="33">
        <f t="shared" si="4"/>
        <v>9944889.166666666</v>
      </c>
      <c r="I51" s="33">
        <f t="shared" si="5"/>
        <v>8509282</v>
      </c>
      <c r="J51" s="53">
        <f t="shared" si="0"/>
        <v>0.85564372386586851</v>
      </c>
      <c r="K51" s="34">
        <f t="shared" si="6"/>
        <v>1988977.8333333333</v>
      </c>
      <c r="M51" s="90">
        <v>492147</v>
      </c>
      <c r="N51" s="114">
        <v>1683453</v>
      </c>
      <c r="O51" s="73">
        <v>2341242</v>
      </c>
      <c r="P51" s="69">
        <v>3194433</v>
      </c>
      <c r="Q51" s="69">
        <v>4716983</v>
      </c>
      <c r="R51" s="69">
        <v>5916683</v>
      </c>
      <c r="S51" s="69">
        <v>6650550</v>
      </c>
      <c r="T51" s="69">
        <v>7250245</v>
      </c>
      <c r="U51" s="69">
        <v>7982890</v>
      </c>
      <c r="V51" s="92">
        <v>8509282</v>
      </c>
      <c r="W51" s="92"/>
      <c r="X51" s="92"/>
    </row>
    <row r="52" spans="1:24" x14ac:dyDescent="0.2">
      <c r="A52" s="31" t="s">
        <v>11</v>
      </c>
      <c r="B52" s="122">
        <v>2406218</v>
      </c>
      <c r="C52" s="33">
        <f>5817431-1150000</f>
        <v>4667431</v>
      </c>
      <c r="D52" s="33">
        <f>5741594-1150000</f>
        <v>4591594</v>
      </c>
      <c r="E52" s="33">
        <f t="shared" si="1"/>
        <v>382632.83333333331</v>
      </c>
      <c r="F52" s="33">
        <f t="shared" si="2"/>
        <v>24250</v>
      </c>
      <c r="G52" s="59">
        <f t="shared" si="3"/>
        <v>6.3376683565663686E-2</v>
      </c>
      <c r="H52" s="33">
        <f t="shared" si="4"/>
        <v>3826328.333333333</v>
      </c>
      <c r="I52" s="33">
        <f t="shared" si="5"/>
        <v>1243720</v>
      </c>
      <c r="J52" s="53">
        <f t="shared" si="0"/>
        <v>0.32504267581149382</v>
      </c>
      <c r="K52" s="34">
        <f t="shared" si="6"/>
        <v>765265.66666666663</v>
      </c>
      <c r="M52" s="90">
        <v>330185</v>
      </c>
      <c r="N52" s="114">
        <v>444252</v>
      </c>
      <c r="O52" s="73">
        <v>494058</v>
      </c>
      <c r="P52" s="69">
        <v>609802</v>
      </c>
      <c r="Q52" s="69">
        <v>729418</v>
      </c>
      <c r="R52" s="69">
        <v>916725</v>
      </c>
      <c r="S52" s="69">
        <v>943457</v>
      </c>
      <c r="T52" s="69">
        <v>1175693</v>
      </c>
      <c r="U52" s="69">
        <v>1219470</v>
      </c>
      <c r="V52" s="92">
        <v>1243720</v>
      </c>
      <c r="W52" s="92"/>
      <c r="X52" s="92"/>
    </row>
    <row r="53" spans="1:24" x14ac:dyDescent="0.2">
      <c r="A53" s="31" t="s">
        <v>62</v>
      </c>
      <c r="B53" s="122">
        <v>4711616</v>
      </c>
      <c r="C53" s="33">
        <f>6577487-30000</f>
        <v>6547487</v>
      </c>
      <c r="D53" s="33">
        <f>7282260-30000</f>
        <v>7252260</v>
      </c>
      <c r="E53" s="33">
        <f t="shared" si="1"/>
        <v>604355</v>
      </c>
      <c r="F53" s="33">
        <f t="shared" si="2"/>
        <v>245301</v>
      </c>
      <c r="G53" s="59">
        <f t="shared" si="3"/>
        <v>0.40588892290127493</v>
      </c>
      <c r="H53" s="33">
        <f t="shared" si="4"/>
        <v>6043550</v>
      </c>
      <c r="I53" s="33">
        <f t="shared" si="5"/>
        <v>3022587</v>
      </c>
      <c r="J53" s="53">
        <f t="shared" si="0"/>
        <v>0.50013435811733165</v>
      </c>
      <c r="K53" s="34">
        <f t="shared" si="6"/>
        <v>1208710</v>
      </c>
      <c r="M53" s="90">
        <v>167448</v>
      </c>
      <c r="N53" s="114">
        <v>383944</v>
      </c>
      <c r="O53" s="73">
        <v>742525</v>
      </c>
      <c r="P53" s="69">
        <v>1197819</v>
      </c>
      <c r="Q53" s="69">
        <v>1385172</v>
      </c>
      <c r="R53" s="69">
        <v>1710664</v>
      </c>
      <c r="S53" s="69">
        <v>2099393</v>
      </c>
      <c r="T53" s="69">
        <v>2530330</v>
      </c>
      <c r="U53" s="69">
        <v>2777286</v>
      </c>
      <c r="V53" s="92">
        <v>3022587</v>
      </c>
      <c r="W53" s="92"/>
      <c r="X53" s="92"/>
    </row>
    <row r="54" spans="1:24" x14ac:dyDescent="0.2">
      <c r="A54" s="31" t="s">
        <v>12</v>
      </c>
      <c r="B54" s="122">
        <v>2500478</v>
      </c>
      <c r="C54" s="33">
        <f>1429217-10000</f>
        <v>1419217</v>
      </c>
      <c r="D54" s="33">
        <f>1450221-10000</f>
        <v>1440221</v>
      </c>
      <c r="E54" s="33">
        <f t="shared" si="1"/>
        <v>120018.41666666667</v>
      </c>
      <c r="F54" s="33">
        <f t="shared" si="2"/>
        <v>107143</v>
      </c>
      <c r="G54" s="59">
        <f t="shared" si="3"/>
        <v>0.89272132540769777</v>
      </c>
      <c r="H54" s="33">
        <f t="shared" si="4"/>
        <v>1200184.1666666667</v>
      </c>
      <c r="I54" s="33">
        <f t="shared" si="5"/>
        <v>1140413</v>
      </c>
      <c r="J54" s="53">
        <f t="shared" si="0"/>
        <v>0.95019833761624073</v>
      </c>
      <c r="K54" s="34">
        <f t="shared" si="6"/>
        <v>240036.83333333334</v>
      </c>
      <c r="M54" s="90">
        <v>100637</v>
      </c>
      <c r="N54" s="114">
        <v>199012</v>
      </c>
      <c r="O54" s="73">
        <v>299564</v>
      </c>
      <c r="P54" s="69">
        <v>457804</v>
      </c>
      <c r="Q54" s="69">
        <v>566308</v>
      </c>
      <c r="R54" s="69">
        <v>671349</v>
      </c>
      <c r="S54" s="69">
        <v>779600</v>
      </c>
      <c r="T54" s="69">
        <v>895135</v>
      </c>
      <c r="U54" s="69">
        <v>1033270</v>
      </c>
      <c r="V54" s="92">
        <v>1140413</v>
      </c>
      <c r="W54" s="92"/>
      <c r="X54" s="92"/>
    </row>
    <row r="55" spans="1:24" x14ac:dyDescent="0.2">
      <c r="A55" s="31" t="s">
        <v>63</v>
      </c>
      <c r="B55" s="122">
        <v>10878724</v>
      </c>
      <c r="C55" s="33">
        <f>10351078-50000</f>
        <v>10301078</v>
      </c>
      <c r="D55" s="33">
        <f>10391864-50000</f>
        <v>10341864</v>
      </c>
      <c r="E55" s="33">
        <f t="shared" si="1"/>
        <v>861822</v>
      </c>
      <c r="F55" s="33">
        <f t="shared" si="2"/>
        <v>661162</v>
      </c>
      <c r="G55" s="59">
        <f t="shared" si="3"/>
        <v>0.767167698202181</v>
      </c>
      <c r="H55" s="33">
        <f t="shared" si="4"/>
        <v>8618220</v>
      </c>
      <c r="I55" s="33">
        <f t="shared" si="5"/>
        <v>7029318</v>
      </c>
      <c r="J55" s="53">
        <f t="shared" si="0"/>
        <v>0.81563455098616655</v>
      </c>
      <c r="K55" s="34">
        <f t="shared" si="6"/>
        <v>1723644</v>
      </c>
      <c r="M55" s="90">
        <v>671663</v>
      </c>
      <c r="N55" s="114">
        <v>1364211</v>
      </c>
      <c r="O55" s="73">
        <v>2078281</v>
      </c>
      <c r="P55" s="69">
        <v>2893527</v>
      </c>
      <c r="Q55" s="69">
        <v>3604407</v>
      </c>
      <c r="R55" s="69">
        <v>4333733</v>
      </c>
      <c r="S55" s="69">
        <v>4990331</v>
      </c>
      <c r="T55" s="69">
        <v>5671537</v>
      </c>
      <c r="U55" s="69">
        <v>6368156</v>
      </c>
      <c r="V55" s="92">
        <v>7029318</v>
      </c>
      <c r="W55" s="92"/>
      <c r="X55" s="92"/>
    </row>
    <row r="56" spans="1:24" x14ac:dyDescent="0.2">
      <c r="A56" s="89" t="s">
        <v>13</v>
      </c>
      <c r="B56" s="123">
        <v>2724120</v>
      </c>
      <c r="C56" s="33">
        <f>2872531-20000</f>
        <v>2852531</v>
      </c>
      <c r="D56" s="33">
        <f>2487492-20000</f>
        <v>2467492</v>
      </c>
      <c r="E56" s="33">
        <f t="shared" si="1"/>
        <v>205624.33333333334</v>
      </c>
      <c r="F56" s="33">
        <f t="shared" si="2"/>
        <v>212288</v>
      </c>
      <c r="G56" s="59">
        <f t="shared" si="3"/>
        <v>1.0324069946326067</v>
      </c>
      <c r="H56" s="33">
        <f t="shared" si="4"/>
        <v>2056243.3333333335</v>
      </c>
      <c r="I56" s="33">
        <f t="shared" si="5"/>
        <v>1438573</v>
      </c>
      <c r="J56" s="53">
        <f t="shared" si="0"/>
        <v>0.69961223785122706</v>
      </c>
      <c r="K56" s="34">
        <f t="shared" si="6"/>
        <v>411248.66666666669</v>
      </c>
      <c r="M56" s="90">
        <v>116656</v>
      </c>
      <c r="N56" s="114">
        <v>229540</v>
      </c>
      <c r="O56" s="73">
        <v>457693</v>
      </c>
      <c r="P56" s="69">
        <v>526180</v>
      </c>
      <c r="Q56" s="69">
        <v>648869</v>
      </c>
      <c r="R56" s="69">
        <v>774245</v>
      </c>
      <c r="S56" s="69">
        <v>967057</v>
      </c>
      <c r="T56" s="69">
        <v>1087271</v>
      </c>
      <c r="U56" s="69">
        <v>1226285</v>
      </c>
      <c r="V56" s="92">
        <v>1438573</v>
      </c>
      <c r="W56" s="92"/>
      <c r="X56" s="92"/>
    </row>
    <row r="57" spans="1:24" x14ac:dyDescent="0.2">
      <c r="A57" s="31" t="s">
        <v>14</v>
      </c>
      <c r="B57" s="122">
        <v>2190302</v>
      </c>
      <c r="C57" s="33">
        <f>9993250-7919000</f>
        <v>2074250</v>
      </c>
      <c r="D57" s="33">
        <f>10276908-7919000</f>
        <v>2357908</v>
      </c>
      <c r="E57" s="33">
        <f t="shared" si="1"/>
        <v>196492.33333333334</v>
      </c>
      <c r="F57" s="33">
        <f t="shared" si="2"/>
        <v>83845</v>
      </c>
      <c r="G57" s="59">
        <f t="shared" si="3"/>
        <v>0.426708760477508</v>
      </c>
      <c r="H57" s="33">
        <f t="shared" si="4"/>
        <v>1964923.3333333335</v>
      </c>
      <c r="I57" s="33">
        <f t="shared" si="5"/>
        <v>934125</v>
      </c>
      <c r="J57" s="53">
        <f t="shared" si="0"/>
        <v>0.47540022765943368</v>
      </c>
      <c r="K57" s="34">
        <f t="shared" si="6"/>
        <v>392984.66666666669</v>
      </c>
      <c r="M57" s="90">
        <v>105457</v>
      </c>
      <c r="N57" s="114">
        <v>191102</v>
      </c>
      <c r="O57" s="73">
        <v>279927</v>
      </c>
      <c r="P57" s="69">
        <v>405391</v>
      </c>
      <c r="Q57" s="69">
        <v>503690</v>
      </c>
      <c r="R57" s="69">
        <v>592927</v>
      </c>
      <c r="S57" s="69">
        <v>689637</v>
      </c>
      <c r="T57" s="69">
        <v>768649</v>
      </c>
      <c r="U57" s="69">
        <v>850280</v>
      </c>
      <c r="V57" s="92">
        <v>934125</v>
      </c>
      <c r="W57" s="92"/>
      <c r="X57" s="92"/>
    </row>
    <row r="58" spans="1:24" hidden="1" x14ac:dyDescent="0.2">
      <c r="A58" s="31" t="s">
        <v>15</v>
      </c>
      <c r="B58" s="122"/>
      <c r="C58" s="33"/>
      <c r="D58" s="33"/>
      <c r="E58" s="33">
        <f t="shared" si="1"/>
        <v>0</v>
      </c>
      <c r="F58" s="33">
        <f t="shared" si="2"/>
        <v>0</v>
      </c>
      <c r="G58" s="59" t="e">
        <f t="shared" si="3"/>
        <v>#DIV/0!</v>
      </c>
      <c r="H58" s="33">
        <f t="shared" si="4"/>
        <v>0</v>
      </c>
      <c r="I58" s="33">
        <f t="shared" si="5"/>
        <v>0</v>
      </c>
      <c r="J58" s="53" t="e">
        <f t="shared" si="0"/>
        <v>#DIV/0!</v>
      </c>
      <c r="K58" s="34">
        <f t="shared" si="6"/>
        <v>0</v>
      </c>
      <c r="M58" s="90"/>
      <c r="O58" s="73"/>
      <c r="V58" s="92"/>
      <c r="W58" s="92"/>
      <c r="X58" s="92"/>
    </row>
    <row r="59" spans="1:24" x14ac:dyDescent="0.2">
      <c r="A59" s="89" t="s">
        <v>69</v>
      </c>
      <c r="B59" s="123">
        <v>1194400</v>
      </c>
      <c r="C59" s="33">
        <f>1224019-20000</f>
        <v>1204019</v>
      </c>
      <c r="D59" s="33">
        <f>1295940-20000</f>
        <v>1275940</v>
      </c>
      <c r="E59" s="33">
        <f t="shared" si="1"/>
        <v>106328.33333333333</v>
      </c>
      <c r="F59" s="33">
        <f t="shared" si="2"/>
        <v>88397</v>
      </c>
      <c r="G59" s="59">
        <f t="shared" si="3"/>
        <v>0.83135884132482718</v>
      </c>
      <c r="H59" s="33">
        <f t="shared" si="4"/>
        <v>1063283.3333333333</v>
      </c>
      <c r="I59" s="33">
        <f t="shared" si="5"/>
        <v>962801</v>
      </c>
      <c r="J59" s="53">
        <f t="shared" si="0"/>
        <v>0.90549806417229661</v>
      </c>
      <c r="K59" s="34">
        <f t="shared" si="6"/>
        <v>212656.66666666666</v>
      </c>
      <c r="M59" s="90">
        <v>95796</v>
      </c>
      <c r="N59" s="114">
        <v>202074</v>
      </c>
      <c r="O59" s="73">
        <v>298247</v>
      </c>
      <c r="P59" s="69">
        <v>411311</v>
      </c>
      <c r="Q59" s="69">
        <v>565625</v>
      </c>
      <c r="R59" s="69">
        <v>604405</v>
      </c>
      <c r="S59" s="69">
        <v>696034</v>
      </c>
      <c r="T59" s="69">
        <v>784439</v>
      </c>
      <c r="U59" s="69">
        <v>874404</v>
      </c>
      <c r="V59" s="92">
        <v>962801</v>
      </c>
      <c r="W59" s="92"/>
      <c r="X59" s="92"/>
    </row>
    <row r="60" spans="1:24" hidden="1" x14ac:dyDescent="0.2">
      <c r="A60" s="89" t="s">
        <v>70</v>
      </c>
      <c r="B60" s="123"/>
      <c r="C60" s="81"/>
      <c r="D60" s="81"/>
      <c r="E60" s="33">
        <f t="shared" si="1"/>
        <v>0</v>
      </c>
      <c r="F60" s="33">
        <f t="shared" si="2"/>
        <v>0</v>
      </c>
      <c r="G60" s="59" t="e">
        <f t="shared" si="3"/>
        <v>#DIV/0!</v>
      </c>
      <c r="H60" s="33">
        <f t="shared" si="4"/>
        <v>0</v>
      </c>
      <c r="I60" s="33">
        <f t="shared" si="5"/>
        <v>0</v>
      </c>
      <c r="J60" s="53" t="e">
        <f t="shared" si="0"/>
        <v>#DIV/0!</v>
      </c>
      <c r="K60" s="34">
        <f t="shared" si="6"/>
        <v>0</v>
      </c>
      <c r="M60" s="90"/>
      <c r="O60" s="73"/>
      <c r="V60" s="92"/>
      <c r="W60" s="92"/>
      <c r="X60" s="92"/>
    </row>
    <row r="61" spans="1:24" hidden="1" x14ac:dyDescent="0.2">
      <c r="A61" s="89" t="s">
        <v>71</v>
      </c>
      <c r="B61" s="123"/>
      <c r="C61" s="33"/>
      <c r="D61" s="33"/>
      <c r="E61" s="33">
        <f t="shared" si="1"/>
        <v>0</v>
      </c>
      <c r="F61" s="33">
        <f t="shared" si="2"/>
        <v>0</v>
      </c>
      <c r="G61" s="59" t="e">
        <f t="shared" si="3"/>
        <v>#DIV/0!</v>
      </c>
      <c r="H61" s="33">
        <f t="shared" si="4"/>
        <v>0</v>
      </c>
      <c r="I61" s="33">
        <f t="shared" si="5"/>
        <v>0</v>
      </c>
      <c r="J61" s="53" t="e">
        <f t="shared" si="0"/>
        <v>#DIV/0!</v>
      </c>
      <c r="K61" s="34">
        <f t="shared" si="6"/>
        <v>0</v>
      </c>
      <c r="M61" s="90"/>
      <c r="O61" s="73"/>
      <c r="V61" s="92"/>
      <c r="W61" s="92"/>
      <c r="X61" s="92"/>
    </row>
    <row r="62" spans="1:24" x14ac:dyDescent="0.2">
      <c r="A62" s="89" t="s">
        <v>72</v>
      </c>
      <c r="B62" s="123">
        <v>2344310</v>
      </c>
      <c r="C62" s="33">
        <f>4159693-20000</f>
        <v>4139693</v>
      </c>
      <c r="D62" s="33">
        <f>5038187-20000</f>
        <v>5018187</v>
      </c>
      <c r="E62" s="33">
        <f t="shared" si="1"/>
        <v>418182.25</v>
      </c>
      <c r="F62" s="33">
        <f t="shared" si="2"/>
        <v>210035</v>
      </c>
      <c r="G62" s="59">
        <f t="shared" si="3"/>
        <v>0.50225709006061348</v>
      </c>
      <c r="H62" s="33">
        <f t="shared" si="4"/>
        <v>4181822.5</v>
      </c>
      <c r="I62" s="33">
        <f t="shared" si="5"/>
        <v>1831019</v>
      </c>
      <c r="J62" s="53">
        <f t="shared" si="0"/>
        <v>0.43785191743552004</v>
      </c>
      <c r="K62" s="34">
        <f t="shared" si="6"/>
        <v>836364.5</v>
      </c>
      <c r="M62" s="90">
        <v>170257</v>
      </c>
      <c r="N62" s="114">
        <v>302165</v>
      </c>
      <c r="O62" s="73">
        <v>480200</v>
      </c>
      <c r="P62" s="69">
        <v>693903</v>
      </c>
      <c r="Q62" s="69">
        <v>887903</v>
      </c>
      <c r="R62" s="69">
        <v>1073814</v>
      </c>
      <c r="S62" s="69">
        <v>1162065</v>
      </c>
      <c r="T62" s="69">
        <v>1328342</v>
      </c>
      <c r="U62" s="69">
        <v>1620984</v>
      </c>
      <c r="V62" s="92">
        <v>1831019</v>
      </c>
      <c r="W62" s="92"/>
      <c r="X62" s="92"/>
    </row>
    <row r="63" spans="1:24" x14ac:dyDescent="0.2">
      <c r="A63" s="31" t="s">
        <v>16</v>
      </c>
      <c r="B63" s="122">
        <v>1160000</v>
      </c>
      <c r="C63" s="33">
        <v>4400000</v>
      </c>
      <c r="D63" s="33">
        <v>4400000</v>
      </c>
      <c r="E63" s="33">
        <f t="shared" si="1"/>
        <v>366666.66666666669</v>
      </c>
      <c r="F63" s="33">
        <f t="shared" si="2"/>
        <v>173070</v>
      </c>
      <c r="G63" s="59">
        <f t="shared" si="3"/>
        <v>0.47200909090909088</v>
      </c>
      <c r="H63" s="33">
        <f t="shared" si="4"/>
        <v>3666666.666666667</v>
      </c>
      <c r="I63" s="33">
        <f t="shared" si="5"/>
        <v>4268313</v>
      </c>
      <c r="J63" s="53">
        <f t="shared" si="0"/>
        <v>1.1640853636363635</v>
      </c>
      <c r="K63" s="34">
        <f t="shared" si="6"/>
        <v>733333.33333333337</v>
      </c>
      <c r="M63" s="90">
        <v>0</v>
      </c>
      <c r="N63" s="114">
        <v>58660</v>
      </c>
      <c r="O63" s="73">
        <v>2129432</v>
      </c>
      <c r="P63" s="69">
        <v>2129432</v>
      </c>
      <c r="Q63" s="69">
        <v>2129432</v>
      </c>
      <c r="R63" s="69">
        <v>4101725</v>
      </c>
      <c r="S63" s="69">
        <v>4129356</v>
      </c>
      <c r="T63" s="69">
        <v>4055317</v>
      </c>
      <c r="U63" s="69">
        <v>4095243</v>
      </c>
      <c r="V63" s="92">
        <v>4268313</v>
      </c>
      <c r="W63" s="92"/>
      <c r="X63" s="92"/>
    </row>
    <row r="64" spans="1:24" x14ac:dyDescent="0.2">
      <c r="A64" s="35" t="s">
        <v>27</v>
      </c>
      <c r="B64" s="36">
        <f>SUM(B42:B63)</f>
        <v>99915655</v>
      </c>
      <c r="C64" s="36">
        <f>SUM(C42:C63)</f>
        <v>115167984</v>
      </c>
      <c r="D64" s="36">
        <f>SUM(D42:D63)</f>
        <v>114912425</v>
      </c>
      <c r="E64" s="36">
        <f>SUM(E42:E63)</f>
        <v>9576035.4166666679</v>
      </c>
      <c r="F64" s="36">
        <f>SUM(F42:F63)</f>
        <v>8222613</v>
      </c>
      <c r="G64" s="54">
        <f>F64/E64</f>
        <v>0.85866568388927467</v>
      </c>
      <c r="H64" s="36">
        <f>SUM(H42:H63)</f>
        <v>95760354.166666657</v>
      </c>
      <c r="I64" s="36">
        <f>SUM(I42:I63)</f>
        <v>81357043</v>
      </c>
      <c r="J64" s="54">
        <f>I64/H64</f>
        <v>0.84959003867510419</v>
      </c>
      <c r="K64" s="36">
        <f>SUM(K42:K63)</f>
        <v>19152070.833333336</v>
      </c>
      <c r="L64" s="105" t="s">
        <v>17</v>
      </c>
      <c r="M64" s="93">
        <f>SUM(M42:M63)</f>
        <v>4838704</v>
      </c>
      <c r="N64" s="115">
        <f t="shared" ref="N64:X64" si="7">SUM(N42:N63)</f>
        <v>11923780</v>
      </c>
      <c r="O64" s="93">
        <f t="shared" si="7"/>
        <v>20894713</v>
      </c>
      <c r="P64" s="93">
        <f t="shared" si="7"/>
        <v>31062608</v>
      </c>
      <c r="Q64" s="93">
        <f t="shared" si="7"/>
        <v>38921361</v>
      </c>
      <c r="R64" s="93">
        <f t="shared" si="7"/>
        <v>51060940</v>
      </c>
      <c r="S64" s="93">
        <f t="shared" si="7"/>
        <v>59560324</v>
      </c>
      <c r="T64" s="93">
        <f t="shared" si="7"/>
        <v>66922035</v>
      </c>
      <c r="U64" s="93">
        <f t="shared" si="7"/>
        <v>73134430</v>
      </c>
      <c r="V64" s="97">
        <f t="shared" si="7"/>
        <v>81357043</v>
      </c>
      <c r="W64" s="97">
        <f t="shared" si="7"/>
        <v>0</v>
      </c>
      <c r="X64" s="97">
        <f t="shared" si="7"/>
        <v>0</v>
      </c>
    </row>
    <row r="65" spans="1:24" x14ac:dyDescent="0.2">
      <c r="A65" s="20"/>
      <c r="B65" s="125"/>
      <c r="C65" s="37"/>
      <c r="D65" s="37"/>
      <c r="E65" s="37"/>
      <c r="F65" s="37"/>
      <c r="G65" s="37"/>
      <c r="H65" s="37"/>
      <c r="I65" s="37"/>
      <c r="J65" s="37"/>
      <c r="K65" s="37"/>
      <c r="V65" s="92"/>
      <c r="W65" s="92"/>
      <c r="X65" s="92"/>
    </row>
    <row r="66" spans="1:24" x14ac:dyDescent="0.2">
      <c r="A66" s="15" t="s">
        <v>75</v>
      </c>
      <c r="B66" s="15"/>
      <c r="C66" s="111"/>
      <c r="D66" s="111"/>
      <c r="E66" s="111"/>
      <c r="F66" s="111"/>
      <c r="G66" s="112"/>
      <c r="H66" s="111"/>
      <c r="I66" s="111"/>
      <c r="J66" s="112"/>
      <c r="K66" s="37"/>
      <c r="V66" s="92"/>
      <c r="W66" s="92"/>
      <c r="X66" s="92"/>
    </row>
    <row r="67" spans="1:24" x14ac:dyDescent="0.2">
      <c r="A67" s="9" t="s">
        <v>83</v>
      </c>
      <c r="B67" s="9"/>
      <c r="C67" s="111"/>
      <c r="D67" s="111"/>
      <c r="E67" s="111"/>
      <c r="F67" s="111"/>
      <c r="G67" s="112"/>
      <c r="H67" s="111"/>
      <c r="I67" s="111"/>
      <c r="J67" s="112"/>
      <c r="K67" s="37"/>
      <c r="V67" s="92"/>
      <c r="W67" s="92"/>
      <c r="X67" s="92"/>
    </row>
    <row r="68" spans="1:24" x14ac:dyDescent="0.2">
      <c r="A68" s="86" t="s">
        <v>68</v>
      </c>
      <c r="B68" s="86"/>
      <c r="C68" s="111"/>
      <c r="D68" s="111"/>
      <c r="E68" s="111"/>
      <c r="F68" s="111"/>
      <c r="G68" s="111"/>
      <c r="H68" s="111"/>
      <c r="I68" s="111"/>
      <c r="J68" s="111"/>
      <c r="K68" s="37"/>
      <c r="V68" s="92"/>
      <c r="W68" s="92"/>
      <c r="X68" s="92"/>
    </row>
    <row r="69" spans="1:24" x14ac:dyDescent="0.2">
      <c r="A69" s="20"/>
      <c r="B69" s="20"/>
      <c r="C69" s="37"/>
      <c r="D69" s="37"/>
      <c r="E69" s="37"/>
      <c r="F69" s="37"/>
      <c r="G69" s="37"/>
      <c r="H69" s="37"/>
      <c r="I69" s="37"/>
      <c r="J69" s="37"/>
      <c r="K69" s="37"/>
      <c r="V69" s="92"/>
      <c r="W69" s="92"/>
      <c r="X69" s="92"/>
    </row>
    <row r="70" spans="1:24" x14ac:dyDescent="0.2">
      <c r="A70" s="15" t="s">
        <v>19</v>
      </c>
      <c r="B70" s="15"/>
      <c r="C70" s="37"/>
      <c r="D70" s="37"/>
      <c r="E70" s="37"/>
      <c r="F70" s="37"/>
      <c r="G70" s="37"/>
      <c r="H70" s="37"/>
      <c r="I70" s="37"/>
      <c r="J70" s="37"/>
      <c r="K70" s="37"/>
      <c r="V70" s="92"/>
      <c r="W70" s="92"/>
      <c r="X70" s="92"/>
    </row>
    <row r="71" spans="1:24" x14ac:dyDescent="0.2">
      <c r="A71" s="91" t="s">
        <v>85</v>
      </c>
      <c r="B71" s="91"/>
      <c r="C71" s="9"/>
      <c r="D71" s="9"/>
      <c r="E71" s="9"/>
      <c r="F71" s="9"/>
      <c r="G71" s="37"/>
      <c r="H71" s="37"/>
      <c r="I71" s="37"/>
      <c r="J71" s="37"/>
      <c r="K71" s="37"/>
      <c r="V71" s="92"/>
      <c r="W71" s="92"/>
      <c r="X71" s="92"/>
    </row>
    <row r="72" spans="1:24" x14ac:dyDescent="0.2">
      <c r="V72" s="92"/>
      <c r="W72" s="92"/>
      <c r="X72" s="92"/>
    </row>
    <row r="73" spans="1:24" ht="48" customHeight="1" x14ac:dyDescent="0.2">
      <c r="A73" s="138" t="s">
        <v>30</v>
      </c>
      <c r="B73" s="139"/>
      <c r="C73" s="139"/>
      <c r="D73" s="139"/>
      <c r="E73" s="139"/>
      <c r="F73" s="139"/>
      <c r="G73" s="139"/>
      <c r="H73" s="139"/>
      <c r="I73" s="139"/>
      <c r="J73" s="139"/>
      <c r="K73" s="151"/>
      <c r="V73" s="92"/>
      <c r="W73" s="92"/>
      <c r="X73" s="92"/>
    </row>
    <row r="74" spans="1:24" x14ac:dyDescent="0.2">
      <c r="A74" s="135" t="s">
        <v>19</v>
      </c>
      <c r="B74" s="136"/>
      <c r="C74" s="137"/>
      <c r="D74" s="137"/>
      <c r="E74" s="137"/>
      <c r="F74" s="137"/>
      <c r="G74" s="137"/>
      <c r="H74" s="137"/>
      <c r="I74" s="24"/>
      <c r="J74" s="24"/>
      <c r="K74" s="25"/>
      <c r="V74" s="92"/>
      <c r="W74" s="92"/>
      <c r="X74" s="92"/>
    </row>
    <row r="75" spans="1:24" ht="45" x14ac:dyDescent="0.2">
      <c r="A75" s="26"/>
      <c r="B75" s="128" t="s">
        <v>79</v>
      </c>
      <c r="C75" s="120" t="s">
        <v>78</v>
      </c>
      <c r="D75" s="128" t="s">
        <v>80</v>
      </c>
      <c r="E75" s="58" t="s">
        <v>3</v>
      </c>
      <c r="F75" s="58" t="s">
        <v>2</v>
      </c>
      <c r="G75" s="56" t="s">
        <v>57</v>
      </c>
      <c r="H75" s="55" t="s">
        <v>51</v>
      </c>
      <c r="I75" s="55" t="s">
        <v>52</v>
      </c>
      <c r="J75" s="56" t="s">
        <v>56</v>
      </c>
      <c r="K75" s="28" t="s">
        <v>36</v>
      </c>
      <c r="V75" s="92"/>
      <c r="W75" s="92"/>
      <c r="X75" s="92"/>
    </row>
    <row r="76" spans="1:24" x14ac:dyDescent="0.2">
      <c r="A76" s="29" t="s">
        <v>1</v>
      </c>
      <c r="B76" s="121" t="s">
        <v>73</v>
      </c>
      <c r="C76" s="88" t="s">
        <v>73</v>
      </c>
      <c r="D76" s="87" t="s">
        <v>73</v>
      </c>
      <c r="E76" s="57" t="str">
        <f>A18</f>
        <v>MONTH  10</v>
      </c>
      <c r="F76" s="57" t="str">
        <f>A18</f>
        <v>MONTH  10</v>
      </c>
      <c r="G76" s="57" t="str">
        <f>A18</f>
        <v>MONTH  10</v>
      </c>
      <c r="H76" s="57" t="str">
        <f>A18</f>
        <v>MONTH  10</v>
      </c>
      <c r="I76" s="57" t="str">
        <f>A18</f>
        <v>MONTH  10</v>
      </c>
      <c r="J76" s="57" t="str">
        <f>A18</f>
        <v>MONTH  10</v>
      </c>
      <c r="K76" s="40"/>
      <c r="V76" s="92"/>
      <c r="W76" s="92"/>
      <c r="X76" s="92"/>
    </row>
    <row r="77" spans="1:24" x14ac:dyDescent="0.2">
      <c r="A77" s="31" t="s">
        <v>4</v>
      </c>
      <c r="B77" s="122">
        <v>30000</v>
      </c>
      <c r="C77" s="32">
        <v>60000</v>
      </c>
      <c r="D77" s="32">
        <v>60000</v>
      </c>
      <c r="E77" s="32">
        <f>D77/12</f>
        <v>5000</v>
      </c>
      <c r="F77" s="33">
        <f>V77-U77</f>
        <v>0</v>
      </c>
      <c r="G77" s="59">
        <f>F77/E77</f>
        <v>0</v>
      </c>
      <c r="H77" s="33">
        <f>D77/12*10</f>
        <v>50000</v>
      </c>
      <c r="I77" s="81">
        <f>V77</f>
        <v>56712</v>
      </c>
      <c r="J77" s="53">
        <f t="shared" ref="J77:J99" si="8">I77/H77</f>
        <v>1.1342399999999999</v>
      </c>
      <c r="K77" s="34">
        <f>+D77-I77</f>
        <v>3288</v>
      </c>
      <c r="M77" s="90"/>
      <c r="N77" s="114">
        <v>5195</v>
      </c>
      <c r="O77" s="73">
        <v>5195</v>
      </c>
      <c r="P77" s="69">
        <v>29850</v>
      </c>
      <c r="Q77" s="69">
        <v>29850</v>
      </c>
      <c r="R77" s="69">
        <v>39837</v>
      </c>
      <c r="S77" s="69">
        <v>56712</v>
      </c>
      <c r="T77" s="69">
        <v>56712</v>
      </c>
      <c r="U77" s="69">
        <v>56712</v>
      </c>
      <c r="V77" s="92">
        <v>56712</v>
      </c>
      <c r="W77" s="92"/>
      <c r="X77" s="92"/>
    </row>
    <row r="78" spans="1:24" x14ac:dyDescent="0.2">
      <c r="A78" s="31" t="s">
        <v>5</v>
      </c>
      <c r="B78" s="122">
        <v>20000</v>
      </c>
      <c r="C78" s="33">
        <v>58000</v>
      </c>
      <c r="D78" s="33">
        <v>58000</v>
      </c>
      <c r="E78" s="33">
        <f>D78/12</f>
        <v>4833.333333333333</v>
      </c>
      <c r="F78" s="33">
        <f>V78-U78</f>
        <v>0</v>
      </c>
      <c r="G78" s="59">
        <f t="shared" ref="G78:G99" si="9">F78/E78</f>
        <v>0</v>
      </c>
      <c r="H78" s="33">
        <f>D78/12*10</f>
        <v>48333.333333333328</v>
      </c>
      <c r="I78" s="81">
        <f>V78</f>
        <v>27737</v>
      </c>
      <c r="J78" s="53">
        <f t="shared" si="8"/>
        <v>0.57386896551724143</v>
      </c>
      <c r="K78" s="34">
        <f>+D78-I78</f>
        <v>30263</v>
      </c>
      <c r="M78" s="90"/>
      <c r="N78" s="114">
        <v>11575</v>
      </c>
      <c r="O78" s="73">
        <v>11575</v>
      </c>
      <c r="P78" s="69">
        <v>11575</v>
      </c>
      <c r="Q78" s="69">
        <v>11575</v>
      </c>
      <c r="R78" s="69">
        <v>18775</v>
      </c>
      <c r="S78" s="69">
        <v>18775</v>
      </c>
      <c r="T78" s="69">
        <v>18775</v>
      </c>
      <c r="U78" s="69">
        <v>27737</v>
      </c>
      <c r="V78" s="92">
        <v>27737</v>
      </c>
      <c r="W78" s="92"/>
      <c r="X78" s="92"/>
    </row>
    <row r="79" spans="1:24" x14ac:dyDescent="0.2">
      <c r="A79" s="31" t="s">
        <v>6</v>
      </c>
      <c r="B79" s="122">
        <v>40000</v>
      </c>
      <c r="C79" s="33">
        <v>69920</v>
      </c>
      <c r="D79" s="33">
        <v>70654</v>
      </c>
      <c r="E79" s="33">
        <f t="shared" ref="E79:E97" si="10">D79/12</f>
        <v>5887.833333333333</v>
      </c>
      <c r="F79" s="33">
        <f t="shared" ref="F79:F97" si="11">V79-U79</f>
        <v>0</v>
      </c>
      <c r="G79" s="59">
        <v>0</v>
      </c>
      <c r="H79" s="33">
        <f>D79/12*10</f>
        <v>58878.333333333328</v>
      </c>
      <c r="I79" s="81">
        <f>V79</f>
        <v>70654</v>
      </c>
      <c r="J79" s="53">
        <f t="shared" si="8"/>
        <v>1.2000000000000002</v>
      </c>
      <c r="K79" s="34">
        <f t="shared" ref="K79:K97" si="12">+D79-I79</f>
        <v>0</v>
      </c>
      <c r="M79" s="90"/>
      <c r="N79" s="114">
        <v>34724</v>
      </c>
      <c r="O79" s="73">
        <v>34724</v>
      </c>
      <c r="P79" s="69">
        <v>34724</v>
      </c>
      <c r="Q79" s="69">
        <v>34724</v>
      </c>
      <c r="R79" s="69">
        <v>86652</v>
      </c>
      <c r="S79" s="69">
        <v>70654</v>
      </c>
      <c r="T79" s="69">
        <v>70654</v>
      </c>
      <c r="U79" s="69">
        <v>70654</v>
      </c>
      <c r="V79" s="92">
        <v>70654</v>
      </c>
      <c r="W79" s="92"/>
      <c r="X79" s="92"/>
    </row>
    <row r="80" spans="1:24" x14ac:dyDescent="0.2">
      <c r="A80" s="31" t="s">
        <v>7</v>
      </c>
      <c r="B80" s="122">
        <v>50000</v>
      </c>
      <c r="C80" s="33">
        <v>50000</v>
      </c>
      <c r="D80" s="33">
        <v>101676</v>
      </c>
      <c r="E80" s="33">
        <f t="shared" si="10"/>
        <v>8473</v>
      </c>
      <c r="F80" s="33">
        <f t="shared" si="11"/>
        <v>0</v>
      </c>
      <c r="G80" s="59">
        <v>0</v>
      </c>
      <c r="H80" s="33">
        <f t="shared" ref="H80:H97" si="13">D80/12*10</f>
        <v>84730</v>
      </c>
      <c r="I80" s="81">
        <f>V80</f>
        <v>101547</v>
      </c>
      <c r="J80" s="53">
        <f t="shared" si="8"/>
        <v>1.1984775168181281</v>
      </c>
      <c r="K80" s="34">
        <f t="shared" si="12"/>
        <v>129</v>
      </c>
      <c r="M80" s="90"/>
      <c r="O80" s="73"/>
      <c r="P80" s="69">
        <v>12010</v>
      </c>
      <c r="Q80" s="69">
        <f>36857</f>
        <v>36857</v>
      </c>
      <c r="R80" s="69">
        <v>27508</v>
      </c>
      <c r="S80" s="69">
        <f>27508+8160</f>
        <v>35668</v>
      </c>
      <c r="T80" s="69">
        <v>101547</v>
      </c>
      <c r="U80" s="69">
        <f>101547</f>
        <v>101547</v>
      </c>
      <c r="V80" s="92">
        <v>101547</v>
      </c>
      <c r="W80" s="92"/>
      <c r="X80" s="92"/>
    </row>
    <row r="81" spans="1:24" x14ac:dyDescent="0.2">
      <c r="A81" s="31" t="s">
        <v>8</v>
      </c>
      <c r="B81" s="122">
        <v>200000</v>
      </c>
      <c r="C81" s="33">
        <v>200000</v>
      </c>
      <c r="D81" s="33">
        <v>200000</v>
      </c>
      <c r="E81" s="33">
        <f t="shared" si="10"/>
        <v>16666.666666666668</v>
      </c>
      <c r="F81" s="33">
        <f t="shared" si="11"/>
        <v>1783</v>
      </c>
      <c r="G81" s="59">
        <f t="shared" si="9"/>
        <v>0.10697999999999999</v>
      </c>
      <c r="H81" s="33">
        <f t="shared" si="13"/>
        <v>166666.66666666669</v>
      </c>
      <c r="I81" s="81">
        <f t="shared" ref="I81:I97" si="14">V81</f>
        <v>85461</v>
      </c>
      <c r="J81" s="53">
        <f t="shared" si="8"/>
        <v>0.51276599999999994</v>
      </c>
      <c r="K81" s="34">
        <f t="shared" si="12"/>
        <v>114539</v>
      </c>
      <c r="M81" s="90"/>
      <c r="N81" s="114">
        <v>39889</v>
      </c>
      <c r="O81" s="73">
        <v>44348</v>
      </c>
      <c r="P81" s="69">
        <v>38654</v>
      </c>
      <c r="Q81" s="69">
        <v>45277</v>
      </c>
      <c r="R81" s="69">
        <v>45636</v>
      </c>
      <c r="S81" s="69">
        <v>56719</v>
      </c>
      <c r="T81" s="69">
        <v>56719</v>
      </c>
      <c r="U81" s="69">
        <v>83678</v>
      </c>
      <c r="V81" s="92">
        <v>85461</v>
      </c>
      <c r="W81" s="92"/>
      <c r="X81" s="92"/>
    </row>
    <row r="82" spans="1:24" x14ac:dyDescent="0.2">
      <c r="A82" s="31" t="s">
        <v>9</v>
      </c>
      <c r="B82" s="122">
        <v>20000</v>
      </c>
      <c r="C82" s="33">
        <v>0</v>
      </c>
      <c r="D82" s="33">
        <v>0</v>
      </c>
      <c r="E82" s="33">
        <f t="shared" si="10"/>
        <v>0</v>
      </c>
      <c r="F82" s="33">
        <f t="shared" si="11"/>
        <v>-54</v>
      </c>
      <c r="G82" s="59" t="e">
        <f t="shared" si="9"/>
        <v>#DIV/0!</v>
      </c>
      <c r="H82" s="33">
        <f t="shared" si="13"/>
        <v>0</v>
      </c>
      <c r="I82" s="81">
        <f t="shared" si="14"/>
        <v>555</v>
      </c>
      <c r="J82" s="53" t="e">
        <f t="shared" si="8"/>
        <v>#DIV/0!</v>
      </c>
      <c r="K82" s="34">
        <f t="shared" si="12"/>
        <v>-555</v>
      </c>
      <c r="M82" s="90"/>
      <c r="N82" s="114">
        <v>1243</v>
      </c>
      <c r="O82" s="73">
        <v>1243</v>
      </c>
      <c r="P82" s="69">
        <v>1243</v>
      </c>
      <c r="Q82" s="69">
        <v>8161</v>
      </c>
      <c r="R82" s="69">
        <v>0</v>
      </c>
      <c r="U82" s="69">
        <v>609</v>
      </c>
      <c r="V82" s="92">
        <v>555</v>
      </c>
      <c r="W82" s="92"/>
      <c r="X82" s="92"/>
    </row>
    <row r="83" spans="1:24" x14ac:dyDescent="0.2">
      <c r="A83" s="31" t="s">
        <v>64</v>
      </c>
      <c r="B83" s="122">
        <v>10000</v>
      </c>
      <c r="C83" s="33">
        <v>10000</v>
      </c>
      <c r="D83" s="33">
        <v>10000</v>
      </c>
      <c r="E83" s="33">
        <f t="shared" si="10"/>
        <v>833.33333333333337</v>
      </c>
      <c r="F83" s="33">
        <f t="shared" si="11"/>
        <v>54</v>
      </c>
      <c r="G83" s="59">
        <f t="shared" si="9"/>
        <v>6.4799999999999996E-2</v>
      </c>
      <c r="H83" s="33">
        <f t="shared" si="13"/>
        <v>8333.3333333333339</v>
      </c>
      <c r="I83" s="81">
        <f t="shared" si="14"/>
        <v>9564</v>
      </c>
      <c r="J83" s="53">
        <f t="shared" si="8"/>
        <v>1.1476799999999998</v>
      </c>
      <c r="K83" s="34">
        <f t="shared" si="12"/>
        <v>436</v>
      </c>
      <c r="M83" s="90"/>
      <c r="O83" s="73"/>
      <c r="T83" s="69">
        <v>8161</v>
      </c>
      <c r="U83" s="69">
        <v>9510</v>
      </c>
      <c r="V83" s="92">
        <v>9564</v>
      </c>
      <c r="W83" s="92"/>
      <c r="X83" s="92"/>
    </row>
    <row r="84" spans="1:24" x14ac:dyDescent="0.2">
      <c r="A84" s="31" t="s">
        <v>65</v>
      </c>
      <c r="B84" s="122">
        <v>355000</v>
      </c>
      <c r="C84" s="33">
        <v>845000</v>
      </c>
      <c r="D84" s="33">
        <v>845000</v>
      </c>
      <c r="E84" s="33">
        <f t="shared" si="10"/>
        <v>70416.666666666672</v>
      </c>
      <c r="F84" s="33">
        <f t="shared" si="11"/>
        <v>18237</v>
      </c>
      <c r="G84" s="59">
        <f t="shared" si="9"/>
        <v>0.25898698224852068</v>
      </c>
      <c r="H84" s="33">
        <f t="shared" si="13"/>
        <v>704166.66666666674</v>
      </c>
      <c r="I84" s="81">
        <f t="shared" si="14"/>
        <v>275240</v>
      </c>
      <c r="J84" s="53">
        <f t="shared" si="8"/>
        <v>0.39087337278106504</v>
      </c>
      <c r="K84" s="34">
        <f t="shared" si="12"/>
        <v>569760</v>
      </c>
      <c r="M84" s="90"/>
      <c r="N84" s="114">
        <v>23091</v>
      </c>
      <c r="O84" s="73">
        <v>23091</v>
      </c>
      <c r="P84" s="69">
        <v>23091</v>
      </c>
      <c r="Q84" s="69">
        <v>23091</v>
      </c>
      <c r="R84" s="69">
        <v>257003</v>
      </c>
      <c r="S84" s="69">
        <v>257003</v>
      </c>
      <c r="T84" s="69">
        <v>257003</v>
      </c>
      <c r="U84" s="69">
        <v>257003</v>
      </c>
      <c r="V84" s="92">
        <v>275240</v>
      </c>
      <c r="W84" s="92"/>
      <c r="X84" s="92"/>
    </row>
    <row r="85" spans="1:24" x14ac:dyDescent="0.2">
      <c r="A85" s="31" t="s">
        <v>66</v>
      </c>
      <c r="B85" s="122">
        <v>10000</v>
      </c>
      <c r="C85" s="33">
        <v>0</v>
      </c>
      <c r="D85" s="33">
        <v>0</v>
      </c>
      <c r="E85" s="33">
        <f t="shared" si="10"/>
        <v>0</v>
      </c>
      <c r="F85" s="33">
        <f t="shared" si="11"/>
        <v>0</v>
      </c>
      <c r="G85" s="59">
        <v>0</v>
      </c>
      <c r="H85" s="33">
        <f t="shared" si="13"/>
        <v>0</v>
      </c>
      <c r="I85" s="81">
        <f t="shared" si="14"/>
        <v>0</v>
      </c>
      <c r="J85" s="53">
        <v>0</v>
      </c>
      <c r="K85" s="34">
        <f t="shared" si="12"/>
        <v>0</v>
      </c>
      <c r="M85" s="90"/>
      <c r="O85" s="73"/>
      <c r="V85" s="92"/>
      <c r="W85" s="92"/>
      <c r="X85" s="92"/>
    </row>
    <row r="86" spans="1:24" x14ac:dyDescent="0.2">
      <c r="A86" s="31" t="s">
        <v>10</v>
      </c>
      <c r="B86" s="122">
        <v>140000</v>
      </c>
      <c r="C86" s="33">
        <v>140000</v>
      </c>
      <c r="D86" s="33">
        <v>140000</v>
      </c>
      <c r="E86" s="33">
        <f t="shared" si="10"/>
        <v>11666.666666666666</v>
      </c>
      <c r="F86" s="33">
        <f t="shared" si="11"/>
        <v>790</v>
      </c>
      <c r="G86" s="59">
        <f t="shared" si="9"/>
        <v>6.7714285714285713E-2</v>
      </c>
      <c r="H86" s="33">
        <f t="shared" si="13"/>
        <v>116666.66666666666</v>
      </c>
      <c r="I86" s="81">
        <f t="shared" si="14"/>
        <v>66517</v>
      </c>
      <c r="J86" s="53">
        <f t="shared" si="8"/>
        <v>0.57014571428571437</v>
      </c>
      <c r="K86" s="34">
        <f t="shared" si="12"/>
        <v>73483</v>
      </c>
      <c r="M86" s="90">
        <v>13512</v>
      </c>
      <c r="N86" s="114">
        <v>20914</v>
      </c>
      <c r="O86" s="73">
        <v>21594</v>
      </c>
      <c r="P86" s="69">
        <v>29064</v>
      </c>
      <c r="Q86" s="69">
        <v>36264</v>
      </c>
      <c r="R86" s="69">
        <v>36264</v>
      </c>
      <c r="S86" s="69">
        <v>37409</v>
      </c>
      <c r="T86" s="69">
        <v>37409</v>
      </c>
      <c r="U86" s="69">
        <v>65727</v>
      </c>
      <c r="V86" s="92">
        <v>66517</v>
      </c>
      <c r="W86" s="92"/>
      <c r="X86" s="92"/>
    </row>
    <row r="87" spans="1:24" x14ac:dyDescent="0.2">
      <c r="A87" s="31" t="s">
        <v>11</v>
      </c>
      <c r="B87" s="122">
        <v>1150000</v>
      </c>
      <c r="C87" s="33">
        <v>1150000</v>
      </c>
      <c r="D87" s="33">
        <v>1150000</v>
      </c>
      <c r="E87" s="33">
        <f t="shared" si="10"/>
        <v>95833.333333333328</v>
      </c>
      <c r="F87" s="33">
        <f t="shared" si="11"/>
        <v>0</v>
      </c>
      <c r="G87" s="59">
        <f t="shared" si="9"/>
        <v>0</v>
      </c>
      <c r="H87" s="33">
        <f t="shared" si="13"/>
        <v>958333.33333333326</v>
      </c>
      <c r="I87" s="81">
        <f t="shared" si="14"/>
        <v>610234</v>
      </c>
      <c r="J87" s="53">
        <f t="shared" si="8"/>
        <v>0.63676591304347829</v>
      </c>
      <c r="K87" s="34">
        <f t="shared" si="12"/>
        <v>539766</v>
      </c>
      <c r="M87" s="90">
        <v>235728</v>
      </c>
      <c r="N87" s="114">
        <v>245479</v>
      </c>
      <c r="O87" s="73">
        <v>245479</v>
      </c>
      <c r="P87" s="69">
        <v>433748</v>
      </c>
      <c r="Q87" s="69">
        <v>433748</v>
      </c>
      <c r="R87" s="69">
        <v>708100</v>
      </c>
      <c r="S87" s="69">
        <v>771600</v>
      </c>
      <c r="T87" s="69">
        <v>610234</v>
      </c>
      <c r="U87" s="69">
        <v>610234</v>
      </c>
      <c r="V87" s="92">
        <v>610234</v>
      </c>
      <c r="W87" s="92"/>
      <c r="X87" s="92"/>
    </row>
    <row r="88" spans="1:24" x14ac:dyDescent="0.2">
      <c r="A88" s="31" t="s">
        <v>62</v>
      </c>
      <c r="B88" s="122">
        <v>30000</v>
      </c>
      <c r="C88" s="33">
        <v>30000</v>
      </c>
      <c r="D88" s="33">
        <v>30000</v>
      </c>
      <c r="E88" s="33">
        <f t="shared" si="10"/>
        <v>2500</v>
      </c>
      <c r="F88" s="33">
        <f t="shared" si="11"/>
        <v>17706</v>
      </c>
      <c r="G88" s="59">
        <f t="shared" si="9"/>
        <v>7.0823999999999998</v>
      </c>
      <c r="H88" s="33">
        <f t="shared" si="13"/>
        <v>25000</v>
      </c>
      <c r="I88" s="81">
        <f t="shared" si="14"/>
        <v>24355</v>
      </c>
      <c r="J88" s="53">
        <f t="shared" si="8"/>
        <v>0.97419999999999995</v>
      </c>
      <c r="K88" s="34">
        <f t="shared" si="12"/>
        <v>5645</v>
      </c>
      <c r="M88" s="90">
        <v>7399</v>
      </c>
      <c r="N88" s="114">
        <v>7399</v>
      </c>
      <c r="O88" s="73">
        <v>7399</v>
      </c>
      <c r="P88" s="69">
        <v>7399</v>
      </c>
      <c r="Q88" s="69">
        <v>7399</v>
      </c>
      <c r="R88" s="69">
        <v>7399</v>
      </c>
      <c r="S88" s="69">
        <v>6649</v>
      </c>
      <c r="T88" s="69">
        <v>6649</v>
      </c>
      <c r="U88" s="69">
        <v>6649</v>
      </c>
      <c r="V88" s="92">
        <v>24355</v>
      </c>
      <c r="W88" s="92"/>
      <c r="X88" s="92"/>
    </row>
    <row r="89" spans="1:24" x14ac:dyDescent="0.2">
      <c r="A89" s="31" t="s">
        <v>12</v>
      </c>
      <c r="B89" s="122">
        <v>10000</v>
      </c>
      <c r="C89" s="33">
        <v>10000</v>
      </c>
      <c r="D89" s="33">
        <v>10000</v>
      </c>
      <c r="E89" s="33">
        <f t="shared" si="10"/>
        <v>833.33333333333337</v>
      </c>
      <c r="F89" s="33">
        <f t="shared" si="11"/>
        <v>0</v>
      </c>
      <c r="G89" s="59">
        <f t="shared" si="9"/>
        <v>0</v>
      </c>
      <c r="H89" s="33">
        <f t="shared" si="13"/>
        <v>8333.3333333333339</v>
      </c>
      <c r="I89" s="81">
        <f t="shared" si="14"/>
        <v>0</v>
      </c>
      <c r="J89" s="53">
        <f t="shared" si="8"/>
        <v>0</v>
      </c>
      <c r="K89" s="34">
        <f t="shared" si="12"/>
        <v>10000</v>
      </c>
      <c r="M89" s="90"/>
      <c r="O89" s="73"/>
      <c r="V89" s="92"/>
      <c r="W89" s="92"/>
      <c r="X89" s="92"/>
    </row>
    <row r="90" spans="1:24" x14ac:dyDescent="0.2">
      <c r="A90" s="31" t="s">
        <v>63</v>
      </c>
      <c r="B90" s="122">
        <v>50000</v>
      </c>
      <c r="C90" s="33">
        <v>50000</v>
      </c>
      <c r="D90" s="33">
        <v>50000</v>
      </c>
      <c r="E90" s="33">
        <f t="shared" si="10"/>
        <v>4166.666666666667</v>
      </c>
      <c r="F90" s="33">
        <f t="shared" si="11"/>
        <v>0</v>
      </c>
      <c r="G90" s="59">
        <f t="shared" si="9"/>
        <v>0</v>
      </c>
      <c r="H90" s="33">
        <f t="shared" si="13"/>
        <v>41666.666666666672</v>
      </c>
      <c r="I90" s="81">
        <f t="shared" si="14"/>
        <v>8499</v>
      </c>
      <c r="J90" s="53">
        <f t="shared" si="8"/>
        <v>0.20397599999999996</v>
      </c>
      <c r="K90" s="34">
        <f t="shared" si="12"/>
        <v>41501</v>
      </c>
      <c r="M90" s="90"/>
      <c r="N90" s="114">
        <v>8499</v>
      </c>
      <c r="O90" s="73">
        <v>8499</v>
      </c>
      <c r="P90" s="69">
        <v>8499</v>
      </c>
      <c r="Q90" s="69">
        <v>8499</v>
      </c>
      <c r="R90" s="69">
        <v>8499</v>
      </c>
      <c r="S90" s="69">
        <v>8499</v>
      </c>
      <c r="T90" s="69">
        <v>8499</v>
      </c>
      <c r="U90" s="69">
        <v>8499</v>
      </c>
      <c r="V90" s="92">
        <v>8499</v>
      </c>
      <c r="W90" s="92"/>
      <c r="X90" s="92"/>
    </row>
    <row r="91" spans="1:24" x14ac:dyDescent="0.2">
      <c r="A91" s="31" t="s">
        <v>13</v>
      </c>
      <c r="B91" s="122">
        <v>20000</v>
      </c>
      <c r="C91" s="33">
        <v>20000</v>
      </c>
      <c r="D91" s="33">
        <v>20000</v>
      </c>
      <c r="E91" s="33">
        <f t="shared" si="10"/>
        <v>1666.6666666666667</v>
      </c>
      <c r="F91" s="33">
        <f t="shared" si="11"/>
        <v>0</v>
      </c>
      <c r="G91" s="59">
        <f t="shared" si="9"/>
        <v>0</v>
      </c>
      <c r="H91" s="33">
        <f t="shared" si="13"/>
        <v>16666.666666666668</v>
      </c>
      <c r="I91" s="81">
        <f t="shared" si="14"/>
        <v>9300</v>
      </c>
      <c r="J91" s="53">
        <f t="shared" si="8"/>
        <v>0.55799999999999994</v>
      </c>
      <c r="K91" s="34">
        <f t="shared" si="12"/>
        <v>10700</v>
      </c>
      <c r="M91" s="90">
        <v>835</v>
      </c>
      <c r="N91" s="114">
        <v>835</v>
      </c>
      <c r="O91" s="73">
        <v>2585</v>
      </c>
      <c r="P91" s="69">
        <v>9300</v>
      </c>
      <c r="Q91" s="69">
        <v>9300</v>
      </c>
      <c r="R91" s="69">
        <v>9300</v>
      </c>
      <c r="S91" s="69">
        <v>9300</v>
      </c>
      <c r="T91" s="69">
        <v>9300</v>
      </c>
      <c r="U91" s="69">
        <v>9300</v>
      </c>
      <c r="V91" s="92">
        <v>9300</v>
      </c>
      <c r="W91" s="92"/>
      <c r="X91" s="92"/>
    </row>
    <row r="92" spans="1:24" x14ac:dyDescent="0.2">
      <c r="A92" s="31" t="s">
        <v>14</v>
      </c>
      <c r="B92" s="122">
        <v>6000000</v>
      </c>
      <c r="C92" s="33">
        <v>7919000</v>
      </c>
      <c r="D92" s="33">
        <v>7919000</v>
      </c>
      <c r="E92" s="33">
        <f t="shared" si="10"/>
        <v>659916.66666666663</v>
      </c>
      <c r="F92" s="33">
        <f t="shared" si="11"/>
        <v>145000</v>
      </c>
      <c r="G92" s="59">
        <f t="shared" si="9"/>
        <v>0.21972471271625207</v>
      </c>
      <c r="H92" s="33">
        <f t="shared" si="13"/>
        <v>6599166.666666666</v>
      </c>
      <c r="I92" s="81">
        <f t="shared" si="14"/>
        <v>2544184</v>
      </c>
      <c r="J92" s="53">
        <f t="shared" si="8"/>
        <v>0.38553110241192073</v>
      </c>
      <c r="K92" s="34">
        <f t="shared" si="12"/>
        <v>5374816</v>
      </c>
      <c r="M92" s="90">
        <v>8508</v>
      </c>
      <c r="N92" s="114">
        <v>835</v>
      </c>
      <c r="O92" s="73">
        <v>177058</v>
      </c>
      <c r="P92" s="69">
        <v>382084</v>
      </c>
      <c r="Q92" s="69">
        <v>570234</v>
      </c>
      <c r="R92" s="69">
        <v>2272081</v>
      </c>
      <c r="S92" s="69">
        <v>2272081</v>
      </c>
      <c r="T92" s="69">
        <v>2399184</v>
      </c>
      <c r="U92" s="69">
        <v>2399184</v>
      </c>
      <c r="V92" s="92">
        <v>2544184</v>
      </c>
      <c r="W92" s="92"/>
      <c r="X92" s="92"/>
    </row>
    <row r="93" spans="1:24" hidden="1" x14ac:dyDescent="0.2">
      <c r="A93" s="31" t="s">
        <v>15</v>
      </c>
      <c r="B93" s="122"/>
      <c r="C93" s="33"/>
      <c r="D93" s="33"/>
      <c r="E93" s="33">
        <f t="shared" si="10"/>
        <v>0</v>
      </c>
      <c r="F93" s="33">
        <f t="shared" si="11"/>
        <v>0</v>
      </c>
      <c r="G93" s="59" t="e">
        <f t="shared" si="9"/>
        <v>#DIV/0!</v>
      </c>
      <c r="H93" s="33">
        <f t="shared" si="13"/>
        <v>0</v>
      </c>
      <c r="I93" s="81">
        <f t="shared" si="14"/>
        <v>0</v>
      </c>
      <c r="J93" s="53" t="e">
        <f t="shared" si="8"/>
        <v>#DIV/0!</v>
      </c>
      <c r="K93" s="34">
        <f t="shared" si="12"/>
        <v>0</v>
      </c>
      <c r="M93" s="90"/>
      <c r="O93" s="73"/>
      <c r="V93" s="92"/>
      <c r="W93" s="92"/>
      <c r="X93" s="92"/>
    </row>
    <row r="94" spans="1:24" x14ac:dyDescent="0.2">
      <c r="A94" s="89" t="s">
        <v>69</v>
      </c>
      <c r="B94" s="123">
        <v>20000</v>
      </c>
      <c r="C94" s="33">
        <v>20000</v>
      </c>
      <c r="D94" s="33">
        <v>20000</v>
      </c>
      <c r="E94" s="33">
        <f t="shared" si="10"/>
        <v>1666.6666666666667</v>
      </c>
      <c r="F94" s="33">
        <f t="shared" si="11"/>
        <v>0</v>
      </c>
      <c r="G94" s="59">
        <f t="shared" si="9"/>
        <v>0</v>
      </c>
      <c r="H94" s="33">
        <f t="shared" si="13"/>
        <v>16666.666666666668</v>
      </c>
      <c r="I94" s="81">
        <f t="shared" si="14"/>
        <v>19430</v>
      </c>
      <c r="J94" s="53">
        <f t="shared" si="8"/>
        <v>1.1657999999999999</v>
      </c>
      <c r="K94" s="34">
        <f t="shared" si="12"/>
        <v>570</v>
      </c>
      <c r="M94" s="90"/>
      <c r="N94" s="114">
        <v>7673</v>
      </c>
      <c r="O94" s="73">
        <v>18208</v>
      </c>
      <c r="P94" s="69">
        <v>18208</v>
      </c>
      <c r="Q94" s="69">
        <v>18208</v>
      </c>
      <c r="R94" s="69">
        <v>18208</v>
      </c>
      <c r="S94" s="69">
        <v>18208</v>
      </c>
      <c r="T94" s="69">
        <v>19430</v>
      </c>
      <c r="U94" s="69">
        <v>19430</v>
      </c>
      <c r="V94" s="92">
        <v>19430</v>
      </c>
      <c r="W94" s="92"/>
      <c r="X94" s="92"/>
    </row>
    <row r="95" spans="1:24" hidden="1" x14ac:dyDescent="0.2">
      <c r="A95" s="89" t="s">
        <v>70</v>
      </c>
      <c r="B95" s="123"/>
      <c r="C95" s="33"/>
      <c r="D95" s="33"/>
      <c r="E95" s="33">
        <f t="shared" si="10"/>
        <v>0</v>
      </c>
      <c r="F95" s="33">
        <f t="shared" si="11"/>
        <v>0</v>
      </c>
      <c r="G95" s="59" t="e">
        <f t="shared" si="9"/>
        <v>#DIV/0!</v>
      </c>
      <c r="H95" s="33">
        <f t="shared" si="13"/>
        <v>0</v>
      </c>
      <c r="I95" s="81">
        <f t="shared" si="14"/>
        <v>0</v>
      </c>
      <c r="J95" s="53" t="e">
        <f t="shared" si="8"/>
        <v>#DIV/0!</v>
      </c>
      <c r="K95" s="34">
        <f t="shared" si="12"/>
        <v>0</v>
      </c>
      <c r="M95" s="90"/>
      <c r="O95" s="73"/>
      <c r="V95" s="92"/>
      <c r="W95" s="92"/>
      <c r="X95" s="92"/>
    </row>
    <row r="96" spans="1:24" hidden="1" x14ac:dyDescent="0.2">
      <c r="A96" s="89" t="s">
        <v>71</v>
      </c>
      <c r="B96" s="123"/>
      <c r="C96" s="33"/>
      <c r="D96" s="33"/>
      <c r="E96" s="33">
        <f t="shared" si="10"/>
        <v>0</v>
      </c>
      <c r="F96" s="33">
        <f t="shared" si="11"/>
        <v>0</v>
      </c>
      <c r="G96" s="59" t="e">
        <f t="shared" si="9"/>
        <v>#DIV/0!</v>
      </c>
      <c r="H96" s="33">
        <f t="shared" si="13"/>
        <v>0</v>
      </c>
      <c r="I96" s="81">
        <f t="shared" si="14"/>
        <v>0</v>
      </c>
      <c r="J96" s="53" t="e">
        <f t="shared" si="8"/>
        <v>#DIV/0!</v>
      </c>
      <c r="K96" s="34">
        <f t="shared" si="12"/>
        <v>0</v>
      </c>
      <c r="M96" s="90"/>
      <c r="O96" s="73"/>
      <c r="V96" s="92"/>
      <c r="W96" s="92"/>
      <c r="X96" s="92"/>
    </row>
    <row r="97" spans="1:24" x14ac:dyDescent="0.2">
      <c r="A97" s="89" t="s">
        <v>72</v>
      </c>
      <c r="B97" s="123">
        <v>20000</v>
      </c>
      <c r="C97" s="33">
        <v>20000</v>
      </c>
      <c r="D97" s="33">
        <v>20000</v>
      </c>
      <c r="E97" s="33">
        <f t="shared" si="10"/>
        <v>1666.6666666666667</v>
      </c>
      <c r="F97" s="33">
        <f t="shared" si="11"/>
        <v>0</v>
      </c>
      <c r="G97" s="59">
        <f t="shared" si="9"/>
        <v>0</v>
      </c>
      <c r="H97" s="33">
        <f t="shared" si="13"/>
        <v>16666.666666666668</v>
      </c>
      <c r="I97" s="81">
        <f t="shared" si="14"/>
        <v>6399</v>
      </c>
      <c r="J97" s="53">
        <f t="shared" si="8"/>
        <v>0.38393999999999995</v>
      </c>
      <c r="K97" s="34">
        <f t="shared" si="12"/>
        <v>13601</v>
      </c>
      <c r="M97" s="90"/>
      <c r="O97" s="73"/>
      <c r="Q97" s="69">
        <v>6399</v>
      </c>
      <c r="R97" s="69">
        <v>6399</v>
      </c>
      <c r="S97" s="69">
        <v>6399</v>
      </c>
      <c r="T97" s="69">
        <v>6399</v>
      </c>
      <c r="U97" s="69">
        <v>6399</v>
      </c>
      <c r="V97" s="92">
        <v>6399</v>
      </c>
      <c r="W97" s="92"/>
      <c r="X97" s="92"/>
    </row>
    <row r="98" spans="1:24" hidden="1" x14ac:dyDescent="0.2">
      <c r="A98" s="31" t="s">
        <v>16</v>
      </c>
      <c r="B98" s="122"/>
      <c r="C98" s="33">
        <v>0</v>
      </c>
      <c r="D98" s="33"/>
      <c r="E98" s="33">
        <f>C98/12</f>
        <v>0</v>
      </c>
      <c r="F98" s="33">
        <f>M98</f>
        <v>0</v>
      </c>
      <c r="G98" s="59" t="e">
        <f t="shared" si="9"/>
        <v>#DIV/0!</v>
      </c>
      <c r="H98" s="33">
        <f>C98/12*1</f>
        <v>0</v>
      </c>
      <c r="I98" s="81">
        <f>M98</f>
        <v>0</v>
      </c>
      <c r="J98" s="53" t="e">
        <f t="shared" si="8"/>
        <v>#DIV/0!</v>
      </c>
      <c r="K98" s="34">
        <f>+F98*11</f>
        <v>0</v>
      </c>
      <c r="M98" s="90">
        <v>0</v>
      </c>
      <c r="O98" s="73"/>
      <c r="V98" s="92"/>
      <c r="W98" s="92"/>
      <c r="X98" s="92"/>
    </row>
    <row r="99" spans="1:24" x14ac:dyDescent="0.2">
      <c r="A99" s="35" t="s">
        <v>27</v>
      </c>
      <c r="B99" s="36">
        <f>SUM(B77:B98)</f>
        <v>8175000</v>
      </c>
      <c r="C99" s="36">
        <f>SUM(C77:C98)</f>
        <v>10651920</v>
      </c>
      <c r="D99" s="36">
        <f>SUM(D77:D98)</f>
        <v>10704330</v>
      </c>
      <c r="E99" s="36">
        <f>SUM(E77:E98)</f>
        <v>892027.49999999988</v>
      </c>
      <c r="F99" s="36">
        <f>SUM(F77:F98)</f>
        <v>183516</v>
      </c>
      <c r="G99" s="54">
        <f t="shared" si="9"/>
        <v>0.20572908346435512</v>
      </c>
      <c r="H99" s="36">
        <f>SUM(H77:H98)</f>
        <v>8920274.9999999981</v>
      </c>
      <c r="I99" s="36">
        <f>SUM(I77:I98)</f>
        <v>3916388</v>
      </c>
      <c r="J99" s="54">
        <f t="shared" si="8"/>
        <v>0.43904341514134942</v>
      </c>
      <c r="K99" s="36">
        <f>SUM(K77:K98)</f>
        <v>6787942</v>
      </c>
      <c r="L99" s="105" t="s">
        <v>17</v>
      </c>
      <c r="M99" s="106">
        <f t="shared" ref="M99:X99" si="15">SUM(M77:M98)</f>
        <v>265982</v>
      </c>
      <c r="N99" s="115">
        <f t="shared" si="15"/>
        <v>407351</v>
      </c>
      <c r="O99" s="106">
        <f t="shared" si="15"/>
        <v>600998</v>
      </c>
      <c r="P99" s="106">
        <f t="shared" si="15"/>
        <v>1039449</v>
      </c>
      <c r="Q99" s="106">
        <f t="shared" si="15"/>
        <v>1279586</v>
      </c>
      <c r="R99" s="106">
        <f t="shared" si="15"/>
        <v>3541661</v>
      </c>
      <c r="S99" s="106">
        <f t="shared" si="15"/>
        <v>3625676</v>
      </c>
      <c r="T99" s="106">
        <f t="shared" si="15"/>
        <v>3666675</v>
      </c>
      <c r="U99" s="106">
        <f t="shared" si="15"/>
        <v>3732872</v>
      </c>
      <c r="V99" s="107">
        <f t="shared" si="15"/>
        <v>3916388</v>
      </c>
      <c r="W99" s="107">
        <f t="shared" si="15"/>
        <v>0</v>
      </c>
      <c r="X99" s="107">
        <f t="shared" si="15"/>
        <v>0</v>
      </c>
    </row>
    <row r="100" spans="1:24" x14ac:dyDescent="0.2">
      <c r="A100" s="35" t="s">
        <v>28</v>
      </c>
      <c r="B100" s="36">
        <f t="shared" ref="B100:K100" si="16">B64+B99</f>
        <v>108090655</v>
      </c>
      <c r="C100" s="36">
        <f t="shared" si="16"/>
        <v>125819904</v>
      </c>
      <c r="D100" s="36">
        <f t="shared" si="16"/>
        <v>125616755</v>
      </c>
      <c r="E100" s="36">
        <f t="shared" si="16"/>
        <v>10468062.916666668</v>
      </c>
      <c r="F100" s="36">
        <f t="shared" si="16"/>
        <v>8406129</v>
      </c>
      <c r="G100" s="36">
        <f t="shared" si="16"/>
        <v>1.0643947673536298</v>
      </c>
      <c r="H100" s="36">
        <f t="shared" si="16"/>
        <v>104680629.16666666</v>
      </c>
      <c r="I100" s="36">
        <f t="shared" si="16"/>
        <v>85273431</v>
      </c>
      <c r="J100" s="36">
        <f t="shared" si="16"/>
        <v>1.2886334538164537</v>
      </c>
      <c r="K100" s="36">
        <f t="shared" si="16"/>
        <v>25940012.833333336</v>
      </c>
      <c r="L100" s="105" t="s">
        <v>17</v>
      </c>
      <c r="M100" s="103">
        <f t="shared" ref="M100:X100" si="17">M64+M99</f>
        <v>5104686</v>
      </c>
      <c r="N100" s="116">
        <f t="shared" si="17"/>
        <v>12331131</v>
      </c>
      <c r="O100" s="74">
        <f t="shared" si="17"/>
        <v>21495711</v>
      </c>
      <c r="P100" s="74">
        <f t="shared" si="17"/>
        <v>32102057</v>
      </c>
      <c r="Q100" s="74">
        <f t="shared" si="17"/>
        <v>40200947</v>
      </c>
      <c r="R100" s="74">
        <f t="shared" si="17"/>
        <v>54602601</v>
      </c>
      <c r="S100" s="74">
        <f t="shared" si="17"/>
        <v>63186000</v>
      </c>
      <c r="T100" s="74">
        <f t="shared" si="17"/>
        <v>70588710</v>
      </c>
      <c r="U100" s="74">
        <f t="shared" si="17"/>
        <v>76867302</v>
      </c>
      <c r="V100" s="100">
        <f t="shared" si="17"/>
        <v>85273431</v>
      </c>
      <c r="W100" s="100">
        <f t="shared" si="17"/>
        <v>0</v>
      </c>
      <c r="X100" s="100">
        <f t="shared" si="17"/>
        <v>0</v>
      </c>
    </row>
    <row r="101" spans="1:24" x14ac:dyDescent="0.2">
      <c r="A101" s="20"/>
      <c r="B101" s="52"/>
      <c r="C101" s="37"/>
      <c r="D101" s="37"/>
      <c r="E101" s="37"/>
      <c r="F101" s="37"/>
      <c r="G101" s="37"/>
      <c r="H101" s="37"/>
      <c r="I101" s="37"/>
      <c r="J101" s="37"/>
      <c r="K101" s="37"/>
      <c r="M101" s="84"/>
      <c r="N101" s="117"/>
      <c r="O101" s="84"/>
      <c r="P101" s="84"/>
      <c r="Q101" s="84"/>
      <c r="R101" s="84"/>
      <c r="S101" s="84"/>
      <c r="T101" s="84"/>
      <c r="U101" s="84"/>
      <c r="V101" s="101"/>
      <c r="W101" s="101"/>
      <c r="X101" s="101"/>
    </row>
    <row r="102" spans="1:24" x14ac:dyDescent="0.2">
      <c r="A102" s="85" t="s">
        <v>67</v>
      </c>
      <c r="B102" s="85"/>
      <c r="C102" s="37"/>
      <c r="D102" s="37"/>
      <c r="E102" s="37"/>
      <c r="F102" s="37"/>
      <c r="G102" s="37"/>
      <c r="H102" s="37"/>
      <c r="I102" s="37"/>
      <c r="J102" s="37"/>
      <c r="K102" s="37"/>
      <c r="M102" s="84"/>
      <c r="N102" s="117"/>
      <c r="O102" s="84"/>
      <c r="P102" s="84"/>
      <c r="Q102" s="84"/>
      <c r="R102" s="84"/>
      <c r="S102" s="84"/>
      <c r="T102" s="84"/>
      <c r="U102" s="84"/>
      <c r="V102" s="101"/>
      <c r="W102" s="101"/>
      <c r="X102" s="101"/>
    </row>
    <row r="103" spans="1:24" x14ac:dyDescent="0.2">
      <c r="A103" s="86" t="s">
        <v>86</v>
      </c>
      <c r="B103" s="86"/>
      <c r="C103" s="37"/>
      <c r="D103" s="37"/>
      <c r="E103" s="37"/>
      <c r="F103" s="37"/>
      <c r="G103" s="37"/>
      <c r="H103" s="37"/>
      <c r="I103" s="37"/>
      <c r="J103" s="37"/>
      <c r="K103" s="37"/>
      <c r="M103" s="84"/>
      <c r="N103" s="117"/>
      <c r="O103" s="84"/>
      <c r="P103" s="84"/>
      <c r="Q103" s="84"/>
      <c r="R103" s="84"/>
      <c r="S103" s="84"/>
      <c r="T103" s="84"/>
      <c r="U103" s="84"/>
      <c r="V103" s="101"/>
      <c r="W103" s="101"/>
      <c r="X103" s="101"/>
    </row>
    <row r="104" spans="1:24" x14ac:dyDescent="0.2">
      <c r="A104" s="86" t="s">
        <v>68</v>
      </c>
      <c r="B104" s="86"/>
      <c r="C104" s="37"/>
      <c r="D104" s="37"/>
      <c r="E104" s="37"/>
      <c r="F104" s="37"/>
      <c r="G104" s="37"/>
      <c r="H104" s="37"/>
      <c r="I104" s="37"/>
      <c r="J104" s="37"/>
      <c r="K104" s="37"/>
      <c r="M104" s="84"/>
      <c r="N104" s="117"/>
      <c r="O104" s="84"/>
      <c r="P104" s="84"/>
      <c r="Q104" s="84"/>
      <c r="R104" s="84"/>
      <c r="S104" s="84"/>
      <c r="T104" s="84"/>
      <c r="U104" s="84"/>
      <c r="V104" s="101"/>
      <c r="W104" s="101"/>
      <c r="X104" s="101"/>
    </row>
    <row r="105" spans="1:24" x14ac:dyDescent="0.2">
      <c r="A105" s="20"/>
      <c r="B105" s="20"/>
      <c r="C105" s="37"/>
      <c r="D105" s="37"/>
      <c r="E105" s="37"/>
      <c r="F105" s="37"/>
      <c r="G105" s="37"/>
      <c r="H105" s="37"/>
      <c r="I105" s="37"/>
      <c r="J105" s="37"/>
      <c r="K105" s="37"/>
      <c r="M105" s="84"/>
      <c r="N105" s="117"/>
      <c r="O105" s="84"/>
      <c r="P105" s="84"/>
      <c r="Q105" s="84"/>
      <c r="R105" s="84"/>
      <c r="S105" s="84"/>
      <c r="T105" s="84"/>
      <c r="U105" s="84"/>
      <c r="V105" s="101"/>
      <c r="W105" s="101"/>
      <c r="X105" s="101"/>
    </row>
    <row r="106" spans="1:24" x14ac:dyDescent="0.2">
      <c r="A106" s="15" t="s">
        <v>0</v>
      </c>
      <c r="B106" s="15"/>
      <c r="C106" s="78"/>
      <c r="D106" s="78"/>
      <c r="E106" s="37"/>
      <c r="F106" s="37"/>
      <c r="G106" s="37"/>
      <c r="H106" s="37"/>
      <c r="I106" s="37"/>
      <c r="J106" s="37"/>
      <c r="V106" s="92"/>
      <c r="W106" s="92"/>
      <c r="X106" s="92"/>
    </row>
    <row r="107" spans="1:24" ht="23.25" customHeight="1" x14ac:dyDescent="0.2">
      <c r="A107" s="146" t="s">
        <v>84</v>
      </c>
      <c r="B107" s="146"/>
      <c r="C107" s="147"/>
      <c r="D107" s="147"/>
      <c r="E107" s="147"/>
      <c r="F107" s="147"/>
      <c r="G107" s="147"/>
      <c r="H107" s="147"/>
      <c r="I107" s="147"/>
      <c r="J107" s="147"/>
      <c r="K107" s="147"/>
      <c r="V107" s="92"/>
      <c r="W107" s="92"/>
      <c r="X107" s="92"/>
    </row>
    <row r="108" spans="1:24" x14ac:dyDescent="0.2">
      <c r="A108" s="86"/>
      <c r="B108" s="86"/>
      <c r="C108" s="37"/>
      <c r="D108" s="37"/>
      <c r="E108" s="37"/>
      <c r="F108" s="37"/>
      <c r="G108" s="37"/>
      <c r="H108" s="37"/>
      <c r="I108" s="37"/>
      <c r="J108" s="37"/>
      <c r="K108" s="9"/>
      <c r="P108" s="73"/>
      <c r="Q108" s="73"/>
      <c r="R108" s="73"/>
      <c r="S108" s="73"/>
      <c r="T108" s="73"/>
      <c r="U108" s="73"/>
      <c r="V108" s="102"/>
      <c r="W108" s="102"/>
      <c r="X108" s="102"/>
    </row>
    <row r="109" spans="1:24" x14ac:dyDescent="0.2">
      <c r="A109" s="52"/>
      <c r="B109" s="52"/>
      <c r="C109" s="37"/>
      <c r="D109" s="37"/>
      <c r="E109" s="37"/>
      <c r="F109" s="37"/>
      <c r="G109" s="37"/>
      <c r="H109" s="79"/>
      <c r="I109" s="37"/>
      <c r="J109" s="37"/>
      <c r="K109" s="9"/>
      <c r="Q109" s="73"/>
      <c r="V109" s="92"/>
      <c r="W109" s="102"/>
      <c r="X109" s="92"/>
    </row>
    <row r="110" spans="1:24" ht="48" customHeight="1" x14ac:dyDescent="0.2">
      <c r="A110" s="138" t="s">
        <v>29</v>
      </c>
      <c r="B110" s="139"/>
      <c r="C110" s="139"/>
      <c r="D110" s="139"/>
      <c r="E110" s="139"/>
      <c r="F110" s="139"/>
      <c r="G110" s="139"/>
      <c r="H110" s="139"/>
      <c r="I110" s="139"/>
      <c r="J110" s="39"/>
      <c r="K110" s="25"/>
      <c r="V110" s="92"/>
      <c r="W110" s="92"/>
      <c r="X110" s="92"/>
    </row>
    <row r="111" spans="1:24" x14ac:dyDescent="0.2">
      <c r="A111" s="135" t="s">
        <v>25</v>
      </c>
      <c r="B111" s="136"/>
      <c r="C111" s="137"/>
      <c r="D111" s="137"/>
      <c r="E111" s="137"/>
      <c r="F111" s="137"/>
      <c r="G111" s="137"/>
      <c r="H111" s="137"/>
      <c r="I111" s="41"/>
      <c r="J111" s="41"/>
      <c r="K111" s="25"/>
      <c r="V111" s="92"/>
      <c r="W111" s="92"/>
      <c r="X111" s="92"/>
    </row>
    <row r="112" spans="1:24" ht="45" x14ac:dyDescent="0.2">
      <c r="A112" s="42"/>
      <c r="B112" s="128" t="s">
        <v>79</v>
      </c>
      <c r="C112" s="120" t="s">
        <v>78</v>
      </c>
      <c r="D112" s="128" t="s">
        <v>80</v>
      </c>
      <c r="E112" s="58" t="s">
        <v>3</v>
      </c>
      <c r="F112" s="58" t="s">
        <v>2</v>
      </c>
      <c r="G112" s="113" t="s">
        <v>76</v>
      </c>
      <c r="H112" s="55" t="s">
        <v>51</v>
      </c>
      <c r="I112" s="55" t="s">
        <v>52</v>
      </c>
      <c r="J112" s="113" t="s">
        <v>77</v>
      </c>
      <c r="K112" s="28" t="s">
        <v>36</v>
      </c>
      <c r="V112" s="92"/>
      <c r="W112" s="92"/>
      <c r="X112" s="92"/>
    </row>
    <row r="113" spans="1:30" x14ac:dyDescent="0.2">
      <c r="A113" s="29" t="s">
        <v>20</v>
      </c>
      <c r="B113" s="121" t="s">
        <v>73</v>
      </c>
      <c r="C113" s="88" t="s">
        <v>73</v>
      </c>
      <c r="D113" s="87" t="s">
        <v>73</v>
      </c>
      <c r="E113" s="57" t="str">
        <f>A18</f>
        <v>MONTH  10</v>
      </c>
      <c r="F113" s="57" t="str">
        <f>A18</f>
        <v>MONTH  10</v>
      </c>
      <c r="G113" s="57" t="str">
        <f>A18</f>
        <v>MONTH  10</v>
      </c>
      <c r="H113" s="60" t="str">
        <f>A18</f>
        <v>MONTH  10</v>
      </c>
      <c r="I113" s="57" t="str">
        <f>A18</f>
        <v>MONTH  10</v>
      </c>
      <c r="J113" s="57" t="str">
        <f>A18</f>
        <v>MONTH  10</v>
      </c>
      <c r="K113" s="40"/>
      <c r="O113" s="95"/>
      <c r="P113" s="95"/>
      <c r="Q113" s="95"/>
      <c r="R113" s="95"/>
      <c r="S113" s="95"/>
      <c r="T113" s="95"/>
      <c r="U113" s="95"/>
      <c r="V113" s="98"/>
      <c r="W113" s="98"/>
      <c r="X113" s="98"/>
    </row>
    <row r="114" spans="1:30" x14ac:dyDescent="0.2">
      <c r="A114" s="43" t="s">
        <v>21</v>
      </c>
      <c r="B114" s="126">
        <v>2700000</v>
      </c>
      <c r="C114" s="33">
        <v>2700000</v>
      </c>
      <c r="D114" s="33">
        <v>2170000</v>
      </c>
      <c r="E114" s="33">
        <f>D114/12</f>
        <v>180833.33333333334</v>
      </c>
      <c r="F114" s="33">
        <f>V114-U114</f>
        <v>64357</v>
      </c>
      <c r="G114" s="59">
        <f>F114/E114</f>
        <v>0.35589124423963131</v>
      </c>
      <c r="H114" s="33">
        <f>D114/12*10</f>
        <v>1808333.3333333335</v>
      </c>
      <c r="I114" s="33">
        <f>V114</f>
        <v>1853149</v>
      </c>
      <c r="J114" s="53">
        <f>I114/H114</f>
        <v>1.024782857142857</v>
      </c>
      <c r="K114" s="34">
        <f>+D114-I114</f>
        <v>316851</v>
      </c>
      <c r="M114" s="95">
        <v>102185</v>
      </c>
      <c r="N114" s="114">
        <v>101411</v>
      </c>
      <c r="O114" s="95">
        <v>224726</v>
      </c>
      <c r="P114" s="95">
        <v>796569</v>
      </c>
      <c r="Q114" s="95">
        <v>887737</v>
      </c>
      <c r="R114" s="95">
        <v>887737</v>
      </c>
      <c r="S114" s="95">
        <v>1269163</v>
      </c>
      <c r="T114" s="95">
        <v>1507840</v>
      </c>
      <c r="U114" s="95">
        <v>1788792</v>
      </c>
      <c r="V114" s="98">
        <v>1853149</v>
      </c>
      <c r="W114" s="98"/>
      <c r="X114" s="98"/>
    </row>
    <row r="115" spans="1:30" x14ac:dyDescent="0.2">
      <c r="A115" s="43" t="s">
        <v>22</v>
      </c>
      <c r="B115" s="126">
        <v>100000</v>
      </c>
      <c r="C115" s="33">
        <v>541701</v>
      </c>
      <c r="D115" s="33">
        <v>608736</v>
      </c>
      <c r="E115" s="33">
        <f>D115/12</f>
        <v>50728</v>
      </c>
      <c r="F115" s="33">
        <f>V115-U115</f>
        <v>90915</v>
      </c>
      <c r="G115" s="59">
        <f>F115/E115</f>
        <v>1.7922054880933607</v>
      </c>
      <c r="H115" s="33">
        <f>D115/12*10</f>
        <v>507280</v>
      </c>
      <c r="I115" s="33">
        <f>V115</f>
        <v>831698</v>
      </c>
      <c r="J115" s="53">
        <f>I115/H115</f>
        <v>1.6395245229459077</v>
      </c>
      <c r="K115" s="34">
        <f>+E115*2</f>
        <v>101456</v>
      </c>
      <c r="M115" s="95">
        <v>42398</v>
      </c>
      <c r="N115" s="114">
        <v>42398</v>
      </c>
      <c r="O115" s="95">
        <v>139061</v>
      </c>
      <c r="P115" s="95">
        <v>184203</v>
      </c>
      <c r="Q115" s="95">
        <v>229345</v>
      </c>
      <c r="R115" s="95">
        <v>319628</v>
      </c>
      <c r="S115" s="95">
        <v>608584</v>
      </c>
      <c r="T115" s="95">
        <v>654423</v>
      </c>
      <c r="U115" s="95">
        <v>740783</v>
      </c>
      <c r="V115" s="98">
        <v>831698</v>
      </c>
      <c r="W115" s="98"/>
      <c r="X115" s="98"/>
    </row>
    <row r="116" spans="1:30" x14ac:dyDescent="0.2">
      <c r="A116" s="43" t="s">
        <v>23</v>
      </c>
      <c r="B116" s="126">
        <v>95775000</v>
      </c>
      <c r="C116" s="33">
        <v>95990000</v>
      </c>
      <c r="D116" s="33">
        <v>96175211</v>
      </c>
      <c r="E116" s="33">
        <f>D116/12</f>
        <v>8014600.916666667</v>
      </c>
      <c r="F116" s="33">
        <f>V116-U116</f>
        <v>326319</v>
      </c>
      <c r="G116" s="59">
        <f>F116/E116</f>
        <v>4.0715564429590907E-2</v>
      </c>
      <c r="H116" s="33">
        <f>D116/12*10</f>
        <v>80146009.166666672</v>
      </c>
      <c r="I116" s="33">
        <f>V116</f>
        <v>95905544</v>
      </c>
      <c r="J116" s="53">
        <f>I116/H116</f>
        <v>1.1966353034567296</v>
      </c>
      <c r="K116" s="34">
        <f>+D116-I116</f>
        <v>269667</v>
      </c>
      <c r="M116" s="95">
        <v>39142263</v>
      </c>
      <c r="N116" s="114">
        <v>39442678</v>
      </c>
      <c r="O116" s="95">
        <v>39916099</v>
      </c>
      <c r="P116" s="95">
        <v>39970656</v>
      </c>
      <c r="Q116" s="95">
        <v>40124712</v>
      </c>
      <c r="R116" s="95">
        <v>71259564</v>
      </c>
      <c r="S116" s="95">
        <v>71694149</v>
      </c>
      <c r="T116" s="95">
        <v>71872496</v>
      </c>
      <c r="U116" s="95">
        <v>95579225</v>
      </c>
      <c r="V116" s="98">
        <v>95905544</v>
      </c>
      <c r="W116" s="98"/>
      <c r="X116" s="98"/>
    </row>
    <row r="117" spans="1:30" x14ac:dyDescent="0.2">
      <c r="A117" s="43" t="s">
        <v>24</v>
      </c>
      <c r="B117" s="126">
        <v>15000</v>
      </c>
      <c r="C117" s="33">
        <v>45000</v>
      </c>
      <c r="D117" s="33">
        <v>172728</v>
      </c>
      <c r="E117" s="33">
        <f>D117/12</f>
        <v>14394</v>
      </c>
      <c r="F117" s="33">
        <f>V117-U117</f>
        <v>2497</v>
      </c>
      <c r="G117" s="59">
        <f>F117/E117</f>
        <v>0.17347505905238295</v>
      </c>
      <c r="H117" s="33">
        <f>D117/12*10</f>
        <v>143940</v>
      </c>
      <c r="I117" s="33">
        <f>V117</f>
        <v>50927</v>
      </c>
      <c r="J117" s="53">
        <f>I117/H117</f>
        <v>0.35380714186466583</v>
      </c>
      <c r="K117" s="34">
        <f>+E117*2</f>
        <v>28788</v>
      </c>
      <c r="M117" s="95">
        <v>2211</v>
      </c>
      <c r="N117" s="114">
        <v>4532</v>
      </c>
      <c r="O117" s="95">
        <v>17589</v>
      </c>
      <c r="P117" s="95">
        <v>19939</v>
      </c>
      <c r="Q117" s="95">
        <v>22426</v>
      </c>
      <c r="R117" s="95">
        <v>40829</v>
      </c>
      <c r="S117" s="95">
        <v>43394</v>
      </c>
      <c r="T117" s="95">
        <v>45894</v>
      </c>
      <c r="U117" s="95">
        <v>48430</v>
      </c>
      <c r="V117" s="98">
        <v>50927</v>
      </c>
      <c r="W117" s="98"/>
      <c r="X117" s="98"/>
    </row>
    <row r="118" spans="1:30" x14ac:dyDescent="0.2">
      <c r="A118" s="44" t="s">
        <v>26</v>
      </c>
      <c r="B118" s="36">
        <f>SUM(B114:B117)</f>
        <v>98590000</v>
      </c>
      <c r="C118" s="36">
        <f>SUM(C114:C117)</f>
        <v>99276701</v>
      </c>
      <c r="D118" s="36">
        <f>SUM(D114:D117)</f>
        <v>99126675</v>
      </c>
      <c r="E118" s="36">
        <f>SUM(E114:E117)</f>
        <v>8260556.25</v>
      </c>
      <c r="F118" s="36">
        <f>SUM(F114:F117)</f>
        <v>484088</v>
      </c>
      <c r="G118" s="54">
        <f>F118/E118</f>
        <v>5.8602348964090646E-2</v>
      </c>
      <c r="H118" s="36">
        <f>SUM(H114:H117)</f>
        <v>82605562.5</v>
      </c>
      <c r="I118" s="36">
        <f>SUM(I114:I117)</f>
        <v>98641318</v>
      </c>
      <c r="J118" s="54">
        <f>I118/H118</f>
        <v>1.1941244029419931</v>
      </c>
      <c r="K118" s="36">
        <f>SUM(K114:K117)</f>
        <v>716762</v>
      </c>
      <c r="L118" s="105" t="s">
        <v>17</v>
      </c>
      <c r="M118" s="104">
        <f>SUM(M114:M117)</f>
        <v>39289057</v>
      </c>
      <c r="N118" s="115">
        <f t="shared" ref="N118:X118" si="18">SUM(N114:N117)</f>
        <v>39591019</v>
      </c>
      <c r="O118" s="96">
        <f t="shared" si="18"/>
        <v>40297475</v>
      </c>
      <c r="P118" s="96">
        <f t="shared" si="18"/>
        <v>40971367</v>
      </c>
      <c r="Q118" s="96">
        <f t="shared" si="18"/>
        <v>41264220</v>
      </c>
      <c r="R118" s="96">
        <f t="shared" si="18"/>
        <v>72507758</v>
      </c>
      <c r="S118" s="96">
        <f t="shared" si="18"/>
        <v>73615290</v>
      </c>
      <c r="T118" s="96">
        <f t="shared" si="18"/>
        <v>74080653</v>
      </c>
      <c r="U118" s="96">
        <f t="shared" si="18"/>
        <v>98157230</v>
      </c>
      <c r="V118" s="99">
        <f t="shared" si="18"/>
        <v>98641318</v>
      </c>
      <c r="W118" s="99">
        <f t="shared" si="18"/>
        <v>0</v>
      </c>
      <c r="X118" s="99">
        <f t="shared" si="18"/>
        <v>0</v>
      </c>
    </row>
    <row r="119" spans="1:30" s="3" customFormat="1" x14ac:dyDescent="0.2">
      <c r="A119" s="45"/>
      <c r="B119" s="127"/>
      <c r="C119" s="45"/>
      <c r="D119" s="45"/>
      <c r="E119" s="45"/>
      <c r="F119" s="45"/>
      <c r="G119" s="45"/>
      <c r="H119" s="45"/>
      <c r="I119" s="45"/>
      <c r="J119" s="45"/>
      <c r="K119" s="45"/>
      <c r="L119" s="75"/>
      <c r="M119" s="73"/>
      <c r="N119" s="114"/>
      <c r="O119" s="73"/>
      <c r="P119" s="69"/>
      <c r="Q119" s="69"/>
      <c r="R119" s="69"/>
      <c r="S119" s="69"/>
      <c r="T119" s="69"/>
      <c r="U119" s="69"/>
      <c r="V119" s="92"/>
      <c r="W119" s="92"/>
      <c r="X119" s="92"/>
      <c r="Y119" s="4"/>
      <c r="Z119" s="4"/>
      <c r="AA119" s="4"/>
      <c r="AB119" s="4"/>
      <c r="AC119" s="4"/>
      <c r="AD119" s="4"/>
    </row>
    <row r="120" spans="1:30" s="3" customFormat="1" x14ac:dyDescent="0.2">
      <c r="A120" s="46" t="s">
        <v>55</v>
      </c>
      <c r="B120" s="46"/>
      <c r="C120" s="45"/>
      <c r="D120" s="45"/>
      <c r="E120" s="45"/>
      <c r="F120" s="45"/>
      <c r="G120" s="45"/>
      <c r="H120" s="77"/>
      <c r="I120" s="45"/>
      <c r="J120" s="45"/>
      <c r="K120" s="45"/>
      <c r="L120" s="75"/>
      <c r="M120" s="73"/>
      <c r="N120" s="114"/>
      <c r="O120" s="73"/>
      <c r="P120" s="69"/>
      <c r="Q120" s="69"/>
      <c r="R120" s="69"/>
      <c r="S120" s="69"/>
      <c r="T120" s="69"/>
      <c r="U120" s="69"/>
      <c r="V120" s="92"/>
      <c r="W120" s="92"/>
      <c r="X120" s="92"/>
      <c r="Y120" s="4"/>
      <c r="Z120" s="4"/>
      <c r="AA120" s="4"/>
      <c r="AB120" s="4"/>
      <c r="AC120" s="4"/>
      <c r="AD120" s="4"/>
    </row>
    <row r="121" spans="1:30" s="3" customFormat="1" x14ac:dyDescent="0.2">
      <c r="A121" s="47" t="s">
        <v>61</v>
      </c>
      <c r="B121" s="47"/>
      <c r="C121" s="45"/>
      <c r="D121" s="45"/>
      <c r="E121" s="45"/>
      <c r="F121" s="45"/>
      <c r="G121" s="45"/>
      <c r="H121" s="45"/>
      <c r="I121" s="45"/>
      <c r="J121" s="45"/>
      <c r="K121" s="45"/>
      <c r="L121" s="108"/>
      <c r="M121" s="109"/>
      <c r="N121" s="118"/>
      <c r="O121" s="109"/>
      <c r="P121" s="68"/>
      <c r="Q121" s="68"/>
      <c r="R121" s="68"/>
      <c r="S121" s="68"/>
      <c r="T121" s="68"/>
      <c r="U121" s="68"/>
      <c r="V121" s="110"/>
      <c r="W121" s="110"/>
      <c r="X121" s="110"/>
      <c r="Y121" s="4"/>
      <c r="Z121" s="4"/>
      <c r="AA121" s="4"/>
      <c r="AB121" s="4"/>
      <c r="AC121" s="4"/>
      <c r="AD121" s="4"/>
    </row>
    <row r="122" spans="1:30" x14ac:dyDescent="0.2">
      <c r="O122" s="73"/>
      <c r="V122" s="92"/>
      <c r="W122" s="92"/>
      <c r="X122" s="92"/>
    </row>
    <row r="123" spans="1:30" ht="22.5" customHeight="1" x14ac:dyDescent="0.2">
      <c r="A123" s="48" t="s">
        <v>31</v>
      </c>
      <c r="B123" s="48"/>
      <c r="C123" s="27" t="s">
        <v>60</v>
      </c>
      <c r="D123" s="129"/>
      <c r="E123" s="148" t="s">
        <v>53</v>
      </c>
      <c r="F123" s="150"/>
      <c r="G123" s="27" t="s">
        <v>54</v>
      </c>
      <c r="H123" s="148" t="s">
        <v>53</v>
      </c>
      <c r="I123" s="150"/>
      <c r="J123" s="152" t="s">
        <v>34</v>
      </c>
      <c r="K123" s="153"/>
      <c r="V123" s="92"/>
      <c r="W123" s="92"/>
      <c r="X123" s="92"/>
    </row>
    <row r="124" spans="1:30" x14ac:dyDescent="0.2">
      <c r="A124" s="49"/>
      <c r="B124" s="49"/>
      <c r="C124" s="50" t="str">
        <f>A18</f>
        <v>MONTH  10</v>
      </c>
      <c r="D124" s="130"/>
      <c r="E124" s="160" t="str">
        <f>A18</f>
        <v>MONTH  10</v>
      </c>
      <c r="F124" s="161"/>
      <c r="G124" s="50" t="str">
        <f>A18</f>
        <v>MONTH  10</v>
      </c>
      <c r="H124" s="160" t="str">
        <f>A18</f>
        <v>MONTH  10</v>
      </c>
      <c r="I124" s="161"/>
      <c r="J124" s="154" t="str">
        <f>A18</f>
        <v>MONTH  10</v>
      </c>
      <c r="K124" s="155"/>
      <c r="V124" s="92"/>
      <c r="W124" s="92"/>
      <c r="X124" s="92"/>
    </row>
    <row r="125" spans="1:30" x14ac:dyDescent="0.2">
      <c r="A125" s="31" t="s">
        <v>32</v>
      </c>
      <c r="B125" s="122"/>
      <c r="C125" s="82">
        <v>64061</v>
      </c>
      <c r="D125" s="131"/>
      <c r="E125" s="162">
        <f>+H125</f>
        <v>1068238</v>
      </c>
      <c r="F125" s="163"/>
      <c r="G125" s="133">
        <f>+V125-U125</f>
        <v>67871</v>
      </c>
      <c r="H125" s="168">
        <f>V125</f>
        <v>1068238</v>
      </c>
      <c r="I125" s="169"/>
      <c r="J125" s="156">
        <f>+E125-H125</f>
        <v>0</v>
      </c>
      <c r="K125" s="157"/>
      <c r="L125" s="68"/>
      <c r="M125" s="95">
        <v>0</v>
      </c>
      <c r="N125" s="118">
        <v>372749</v>
      </c>
      <c r="O125" s="95">
        <v>370091</v>
      </c>
      <c r="P125" s="95">
        <v>424648</v>
      </c>
      <c r="Q125" s="95">
        <v>483501</v>
      </c>
      <c r="R125" s="95">
        <v>586353</v>
      </c>
      <c r="S125" s="95">
        <v>685939</v>
      </c>
      <c r="T125" s="95">
        <v>865274</v>
      </c>
      <c r="U125" s="95">
        <v>1000367</v>
      </c>
      <c r="V125" s="98">
        <v>1068238</v>
      </c>
      <c r="W125" s="98"/>
      <c r="X125" s="98"/>
    </row>
    <row r="126" spans="1:30" x14ac:dyDescent="0.2">
      <c r="A126" s="51" t="s">
        <v>33</v>
      </c>
      <c r="B126" s="122"/>
      <c r="C126" s="82">
        <v>109967</v>
      </c>
      <c r="D126" s="131"/>
      <c r="E126" s="164">
        <f>+H126</f>
        <v>727687</v>
      </c>
      <c r="F126" s="165"/>
      <c r="G126" s="133">
        <f>+V126-U126</f>
        <v>109967</v>
      </c>
      <c r="H126" s="170">
        <f>V126</f>
        <v>727687</v>
      </c>
      <c r="I126" s="171"/>
      <c r="J126" s="156">
        <f>+E126-H126</f>
        <v>0</v>
      </c>
      <c r="K126" s="157"/>
      <c r="L126" s="68"/>
      <c r="M126" s="95">
        <v>0</v>
      </c>
      <c r="N126" s="118"/>
      <c r="O126" s="95">
        <v>185000</v>
      </c>
      <c r="P126" s="95">
        <v>185000</v>
      </c>
      <c r="Q126" s="95">
        <v>185000</v>
      </c>
      <c r="R126" s="95">
        <v>333800</v>
      </c>
      <c r="S126" s="95">
        <v>520000</v>
      </c>
      <c r="T126" s="95">
        <v>610180</v>
      </c>
      <c r="U126" s="95">
        <v>617720</v>
      </c>
      <c r="V126" s="98">
        <v>727687</v>
      </c>
      <c r="W126" s="98"/>
      <c r="X126" s="98"/>
    </row>
    <row r="127" spans="1:30" x14ac:dyDescent="0.2">
      <c r="A127" s="35" t="s">
        <v>35</v>
      </c>
      <c r="B127" s="124"/>
      <c r="C127" s="83">
        <f>SUM(C125:C126)</f>
        <v>174028</v>
      </c>
      <c r="D127" s="132"/>
      <c r="E127" s="166">
        <f>SUM(E125:E126)</f>
        <v>1795925</v>
      </c>
      <c r="F127" s="167"/>
      <c r="G127" s="83">
        <f>SUM(G125:G126)</f>
        <v>177838</v>
      </c>
      <c r="H127" s="172">
        <f>SUM(H125:I126)</f>
        <v>1795925</v>
      </c>
      <c r="I127" s="159"/>
      <c r="J127" s="158">
        <f>+J125+J126</f>
        <v>0</v>
      </c>
      <c r="K127" s="159"/>
      <c r="L127" s="94" t="s">
        <v>17</v>
      </c>
      <c r="M127" s="96">
        <f>SUM(M125:M126)</f>
        <v>0</v>
      </c>
      <c r="N127" s="115">
        <f t="shared" ref="N127:X127" si="19">SUM(N125:N126)</f>
        <v>372749</v>
      </c>
      <c r="O127" s="96">
        <f t="shared" si="19"/>
        <v>555091</v>
      </c>
      <c r="P127" s="96">
        <f t="shared" si="19"/>
        <v>609648</v>
      </c>
      <c r="Q127" s="96">
        <f t="shared" si="19"/>
        <v>668501</v>
      </c>
      <c r="R127" s="96">
        <f t="shared" si="19"/>
        <v>920153</v>
      </c>
      <c r="S127" s="96">
        <f t="shared" si="19"/>
        <v>1205939</v>
      </c>
      <c r="T127" s="96">
        <f t="shared" si="19"/>
        <v>1475454</v>
      </c>
      <c r="U127" s="96">
        <f t="shared" si="19"/>
        <v>1618087</v>
      </c>
      <c r="V127" s="99">
        <f t="shared" si="19"/>
        <v>1795925</v>
      </c>
      <c r="W127" s="99">
        <f t="shared" si="19"/>
        <v>0</v>
      </c>
      <c r="X127" s="99">
        <f t="shared" si="19"/>
        <v>0</v>
      </c>
    </row>
    <row r="128" spans="1:30" x14ac:dyDescent="0.2">
      <c r="A128" s="9"/>
      <c r="B128" s="9"/>
      <c r="C128" s="20"/>
      <c r="D128" s="20"/>
      <c r="E128" s="21"/>
      <c r="F128" s="21"/>
      <c r="G128" s="134"/>
      <c r="H128" s="21"/>
      <c r="I128" s="21"/>
      <c r="J128" s="21"/>
      <c r="L128" s="69"/>
      <c r="V128" s="92"/>
      <c r="W128" s="92"/>
      <c r="X128" s="92"/>
    </row>
    <row r="129" spans="1:30" x14ac:dyDescent="0.2">
      <c r="A129" s="38" t="s">
        <v>59</v>
      </c>
      <c r="B129" s="38"/>
      <c r="C129" s="9"/>
      <c r="D129" s="9"/>
      <c r="L129" s="68"/>
      <c r="M129" s="68"/>
      <c r="N129" s="118"/>
      <c r="O129" s="68"/>
      <c r="V129" s="92"/>
      <c r="W129" s="92"/>
      <c r="X129" s="92"/>
    </row>
    <row r="130" spans="1:30" s="1" customFormat="1" x14ac:dyDescent="0.2">
      <c r="A130" s="20"/>
      <c r="B130" s="20"/>
      <c r="C130" s="37"/>
      <c r="D130" s="37"/>
      <c r="E130" s="52"/>
      <c r="F130" s="21"/>
      <c r="G130" s="21"/>
      <c r="H130" s="21"/>
      <c r="I130" s="21"/>
      <c r="J130" s="21"/>
      <c r="K130" s="21"/>
      <c r="L130" s="68"/>
      <c r="M130" s="68"/>
      <c r="N130" s="118"/>
      <c r="O130" s="68"/>
      <c r="P130" s="69"/>
      <c r="Q130" s="69"/>
      <c r="R130" s="69"/>
      <c r="S130" s="69"/>
      <c r="T130" s="69"/>
      <c r="U130" s="69"/>
      <c r="V130" s="92"/>
      <c r="W130" s="92"/>
      <c r="X130" s="92"/>
      <c r="Y130" s="2"/>
      <c r="Z130" s="2"/>
      <c r="AA130" s="2"/>
      <c r="AB130" s="2"/>
      <c r="AC130" s="2"/>
      <c r="AD130" s="2"/>
    </row>
    <row r="131" spans="1:30" x14ac:dyDescent="0.2">
      <c r="A131" s="20"/>
      <c r="B131" s="20"/>
      <c r="C131" s="37"/>
      <c r="D131" s="37"/>
      <c r="E131" s="52"/>
      <c r="L131" s="68"/>
      <c r="M131" s="68"/>
      <c r="N131" s="118"/>
      <c r="O131" s="68"/>
      <c r="P131" s="92"/>
      <c r="V131" s="92"/>
      <c r="W131" s="92"/>
      <c r="X131" s="92"/>
    </row>
    <row r="132" spans="1:30" x14ac:dyDescent="0.2">
      <c r="A132" s="20"/>
      <c r="B132" s="20"/>
      <c r="C132" s="37"/>
      <c r="D132" s="37"/>
      <c r="E132" s="52"/>
      <c r="M132" s="68"/>
      <c r="N132" s="118"/>
      <c r="O132" s="68"/>
      <c r="V132" s="92"/>
      <c r="W132" s="92"/>
      <c r="X132" s="92"/>
    </row>
    <row r="133" spans="1:30" x14ac:dyDescent="0.2">
      <c r="A133" s="20"/>
      <c r="B133" s="20"/>
      <c r="C133" s="37"/>
      <c r="D133" s="37"/>
      <c r="E133" s="52"/>
      <c r="K133" s="9"/>
      <c r="L133" s="76"/>
      <c r="M133" s="68"/>
      <c r="V133" s="92"/>
      <c r="W133" s="92"/>
      <c r="X133" s="92"/>
    </row>
    <row r="134" spans="1:30" x14ac:dyDescent="0.2">
      <c r="A134" s="20"/>
      <c r="B134" s="20"/>
      <c r="C134" s="37"/>
      <c r="D134" s="37"/>
      <c r="E134" s="52"/>
      <c r="K134" s="9"/>
      <c r="L134" s="76"/>
      <c r="M134" s="68"/>
      <c r="V134" s="92"/>
      <c r="W134" s="92"/>
      <c r="X134" s="92"/>
    </row>
    <row r="135" spans="1:30" x14ac:dyDescent="0.2">
      <c r="A135" s="20"/>
      <c r="B135" s="20"/>
      <c r="C135" s="37"/>
      <c r="D135" s="37"/>
      <c r="E135" s="52"/>
      <c r="K135" s="9"/>
      <c r="L135" s="76"/>
      <c r="M135" s="68"/>
      <c r="V135" s="92"/>
      <c r="W135" s="92"/>
      <c r="X135" s="92"/>
    </row>
    <row r="136" spans="1:30" x14ac:dyDescent="0.2">
      <c r="A136" s="20"/>
      <c r="B136" s="20"/>
      <c r="C136" s="111" t="s">
        <v>74</v>
      </c>
      <c r="D136" s="111"/>
      <c r="E136" s="52"/>
      <c r="K136" s="9"/>
      <c r="L136" s="76"/>
      <c r="M136" s="68"/>
      <c r="V136" s="92"/>
      <c r="W136" s="92"/>
      <c r="X136" s="92"/>
    </row>
    <row r="137" spans="1:30" x14ac:dyDescent="0.2">
      <c r="A137" s="20"/>
      <c r="B137" s="20"/>
      <c r="C137" s="37"/>
      <c r="D137" s="37"/>
      <c r="E137" s="52"/>
      <c r="K137" s="9"/>
      <c r="L137" s="76"/>
      <c r="M137" s="68"/>
      <c r="V137" s="92"/>
      <c r="W137" s="92"/>
      <c r="X137" s="92"/>
    </row>
    <row r="138" spans="1:30" x14ac:dyDescent="0.2">
      <c r="A138" s="20"/>
      <c r="B138" s="20"/>
      <c r="C138" s="37"/>
      <c r="D138" s="37"/>
      <c r="E138" s="52"/>
      <c r="K138" s="9"/>
      <c r="L138" s="76"/>
      <c r="M138" s="68"/>
      <c r="V138" s="92"/>
      <c r="W138" s="92"/>
      <c r="X138" s="92"/>
    </row>
    <row r="139" spans="1:30" x14ac:dyDescent="0.2">
      <c r="A139" s="20"/>
      <c r="B139" s="20"/>
      <c r="C139" s="37"/>
      <c r="D139" s="37"/>
      <c r="E139" s="52"/>
      <c r="K139" s="9"/>
      <c r="L139" s="76"/>
      <c r="M139" s="68"/>
      <c r="V139" s="92"/>
      <c r="W139" s="92"/>
      <c r="X139" s="92"/>
    </row>
    <row r="140" spans="1:30" x14ac:dyDescent="0.2">
      <c r="A140" s="20"/>
      <c r="B140" s="20"/>
      <c r="C140" s="37"/>
      <c r="D140" s="37"/>
      <c r="E140" s="52"/>
      <c r="K140" s="9"/>
      <c r="L140" s="76"/>
      <c r="M140" s="68"/>
      <c r="V140" s="92"/>
      <c r="W140" s="92"/>
      <c r="X140" s="92"/>
    </row>
    <row r="141" spans="1:30" x14ac:dyDescent="0.2">
      <c r="A141" s="20"/>
      <c r="B141" s="20"/>
      <c r="C141" s="37"/>
      <c r="D141" s="37"/>
      <c r="E141" s="52"/>
      <c r="K141" s="9"/>
      <c r="L141" s="76"/>
      <c r="M141" s="68"/>
      <c r="V141" s="92"/>
      <c r="W141" s="92"/>
      <c r="X141" s="92"/>
    </row>
    <row r="142" spans="1:30" x14ac:dyDescent="0.2">
      <c r="A142" s="20"/>
      <c r="B142" s="20"/>
      <c r="C142" s="37"/>
      <c r="D142" s="37"/>
      <c r="E142" s="52"/>
      <c r="K142" s="9"/>
      <c r="L142" s="76"/>
      <c r="M142" s="68"/>
      <c r="V142" s="92"/>
      <c r="W142" s="92"/>
      <c r="X142" s="92"/>
    </row>
    <row r="143" spans="1:30" x14ac:dyDescent="0.2">
      <c r="A143" s="20"/>
      <c r="B143" s="20"/>
      <c r="C143" s="37"/>
      <c r="D143" s="37"/>
      <c r="E143" s="52"/>
      <c r="K143" s="9"/>
      <c r="L143" s="76"/>
      <c r="M143" s="68"/>
      <c r="V143" s="92"/>
      <c r="W143" s="92"/>
      <c r="X143" s="92"/>
    </row>
    <row r="144" spans="1:30" x14ac:dyDescent="0.2">
      <c r="A144" s="20"/>
      <c r="B144" s="20"/>
      <c r="C144" s="37"/>
      <c r="D144" s="37"/>
      <c r="E144" s="52"/>
      <c r="K144" s="9"/>
      <c r="L144" s="76"/>
      <c r="M144" s="68"/>
      <c r="V144" s="92"/>
      <c r="W144" s="92"/>
      <c r="X144" s="92"/>
    </row>
    <row r="145" spans="1:24" x14ac:dyDescent="0.2">
      <c r="A145" s="20"/>
      <c r="B145" s="20"/>
      <c r="C145" s="37"/>
      <c r="D145" s="37"/>
      <c r="E145" s="37"/>
      <c r="K145" s="9"/>
      <c r="L145" s="76"/>
      <c r="M145" s="68"/>
      <c r="V145" s="92"/>
      <c r="W145" s="92"/>
      <c r="X145" s="92"/>
    </row>
    <row r="146" spans="1:24" x14ac:dyDescent="0.2">
      <c r="A146" s="9"/>
      <c r="B146" s="9"/>
      <c r="C146" s="9"/>
      <c r="D146" s="9"/>
      <c r="E146" s="9"/>
      <c r="K146" s="9"/>
      <c r="L146" s="76"/>
      <c r="M146" s="68"/>
      <c r="V146" s="92"/>
      <c r="W146" s="92"/>
      <c r="X146" s="92"/>
    </row>
    <row r="147" spans="1:24" x14ac:dyDescent="0.2">
      <c r="A147" s="9"/>
      <c r="B147" s="9"/>
      <c r="C147" s="9"/>
      <c r="D147" s="9"/>
      <c r="E147" s="9"/>
      <c r="K147" s="9"/>
      <c r="L147" s="76"/>
      <c r="M147" s="68"/>
      <c r="V147" s="92"/>
      <c r="W147" s="92"/>
      <c r="X147" s="92"/>
    </row>
    <row r="148" spans="1:24" x14ac:dyDescent="0.2">
      <c r="A148" s="9"/>
      <c r="B148" s="9"/>
      <c r="C148" s="9"/>
      <c r="D148" s="9"/>
      <c r="E148" s="9"/>
      <c r="K148" s="9"/>
      <c r="L148" s="76"/>
      <c r="M148" s="68"/>
      <c r="V148" s="92"/>
      <c r="W148" s="92"/>
      <c r="X148" s="92"/>
    </row>
    <row r="149" spans="1:24" x14ac:dyDescent="0.2">
      <c r="A149" s="9"/>
      <c r="B149" s="9"/>
      <c r="C149" s="9"/>
      <c r="D149" s="9"/>
      <c r="E149" s="9"/>
      <c r="K149" s="9"/>
      <c r="L149" s="76"/>
      <c r="M149" s="68"/>
      <c r="V149" s="92"/>
      <c r="W149" s="92"/>
      <c r="X149" s="92"/>
    </row>
    <row r="150" spans="1:24" x14ac:dyDescent="0.2">
      <c r="A150" s="9"/>
      <c r="B150" s="9"/>
      <c r="C150" s="9"/>
      <c r="D150" s="9"/>
      <c r="E150" s="9"/>
      <c r="K150" s="9"/>
      <c r="L150" s="70"/>
      <c r="M150" s="68"/>
      <c r="N150" s="118"/>
      <c r="V150" s="92"/>
      <c r="W150" s="92"/>
      <c r="X150" s="92"/>
    </row>
    <row r="151" spans="1:24" x14ac:dyDescent="0.2">
      <c r="V151" s="92"/>
      <c r="W151" s="92"/>
      <c r="X151" s="92"/>
    </row>
    <row r="152" spans="1:24" x14ac:dyDescent="0.2">
      <c r="V152" s="92"/>
      <c r="W152" s="92"/>
      <c r="X152" s="92"/>
    </row>
    <row r="153" spans="1:24" x14ac:dyDescent="0.2">
      <c r="V153" s="92"/>
      <c r="W153" s="92"/>
      <c r="X153" s="92"/>
    </row>
    <row r="154" spans="1:24" x14ac:dyDescent="0.2">
      <c r="V154" s="92"/>
      <c r="W154" s="92"/>
      <c r="X154" s="92"/>
    </row>
    <row r="155" spans="1:24" x14ac:dyDescent="0.2">
      <c r="V155" s="92"/>
      <c r="W155" s="92"/>
      <c r="X155" s="92"/>
    </row>
    <row r="156" spans="1:24" x14ac:dyDescent="0.2">
      <c r="V156" s="92"/>
      <c r="W156" s="92"/>
      <c r="X156" s="92"/>
    </row>
    <row r="157" spans="1:24" x14ac:dyDescent="0.2">
      <c r="V157" s="92"/>
      <c r="W157" s="92"/>
      <c r="X157" s="92"/>
    </row>
    <row r="158" spans="1:24" x14ac:dyDescent="0.2">
      <c r="V158" s="92"/>
      <c r="W158" s="92"/>
      <c r="X158" s="92"/>
    </row>
    <row r="159" spans="1:24" x14ac:dyDescent="0.2">
      <c r="V159" s="92"/>
      <c r="W159" s="92"/>
      <c r="X159" s="92"/>
    </row>
    <row r="160" spans="1:24" x14ac:dyDescent="0.2">
      <c r="V160" s="92"/>
      <c r="W160" s="92"/>
      <c r="X160" s="92"/>
    </row>
    <row r="161" spans="1:24" x14ac:dyDescent="0.2">
      <c r="V161" s="92"/>
      <c r="W161" s="92"/>
      <c r="X161" s="92"/>
    </row>
    <row r="162" spans="1:24" x14ac:dyDescent="0.2">
      <c r="V162" s="92"/>
      <c r="W162" s="92"/>
      <c r="X162" s="92"/>
    </row>
    <row r="163" spans="1:24" x14ac:dyDescent="0.2">
      <c r="V163" s="92"/>
      <c r="W163" s="92"/>
      <c r="X163" s="92"/>
    </row>
    <row r="164" spans="1:24" x14ac:dyDescent="0.2">
      <c r="V164" s="92"/>
      <c r="W164" s="92"/>
      <c r="X164" s="92"/>
    </row>
    <row r="165" spans="1:24" x14ac:dyDescent="0.2">
      <c r="V165" s="92"/>
      <c r="W165" s="92"/>
      <c r="X165" s="92"/>
    </row>
    <row r="166" spans="1:24" x14ac:dyDescent="0.2">
      <c r="V166" s="92"/>
      <c r="W166" s="92"/>
      <c r="X166" s="92"/>
    </row>
    <row r="167" spans="1:24" x14ac:dyDescent="0.2">
      <c r="V167" s="92"/>
      <c r="W167" s="92"/>
      <c r="X167" s="92"/>
    </row>
    <row r="168" spans="1:24" x14ac:dyDescent="0.2">
      <c r="V168" s="92"/>
      <c r="W168" s="92"/>
      <c r="X168" s="92"/>
    </row>
    <row r="169" spans="1:24" x14ac:dyDescent="0.2">
      <c r="V169" s="92"/>
      <c r="W169" s="92"/>
      <c r="X169" s="92"/>
    </row>
    <row r="170" spans="1:24" x14ac:dyDescent="0.2">
      <c r="V170" s="92"/>
      <c r="W170" s="92"/>
      <c r="X170" s="92"/>
    </row>
    <row r="171" spans="1:24" x14ac:dyDescent="0.2">
      <c r="V171" s="92"/>
      <c r="W171" s="92"/>
      <c r="X171" s="92"/>
    </row>
    <row r="172" spans="1:24" x14ac:dyDescent="0.2">
      <c r="V172" s="92"/>
      <c r="W172" s="92"/>
      <c r="X172" s="92"/>
    </row>
    <row r="173" spans="1:24" x14ac:dyDescent="0.2">
      <c r="A173" s="2"/>
      <c r="B173" s="2"/>
      <c r="V173" s="92"/>
      <c r="W173" s="92"/>
      <c r="X173" s="92"/>
    </row>
    <row r="174" spans="1:24" x14ac:dyDescent="0.2">
      <c r="A174" s="80"/>
      <c r="B174" s="80"/>
      <c r="V174" s="92"/>
      <c r="W174" s="92"/>
      <c r="X174" s="92"/>
    </row>
    <row r="175" spans="1:24" x14ac:dyDescent="0.2">
      <c r="A175" s="2"/>
      <c r="B175" s="2"/>
      <c r="V175" s="92"/>
      <c r="W175" s="92"/>
      <c r="X175" s="92"/>
    </row>
    <row r="176" spans="1:24" x14ac:dyDescent="0.2">
      <c r="A176" s="2"/>
      <c r="B176" s="2"/>
      <c r="V176" s="92"/>
      <c r="W176" s="92"/>
      <c r="X176" s="92"/>
    </row>
    <row r="177" spans="1:24" x14ac:dyDescent="0.2">
      <c r="A177" s="80"/>
      <c r="B177" s="80"/>
      <c r="V177" s="92"/>
      <c r="W177" s="92"/>
      <c r="X177" s="92"/>
    </row>
    <row r="178" spans="1:24" x14ac:dyDescent="0.2">
      <c r="A178" s="2"/>
      <c r="B178" s="2"/>
      <c r="V178" s="92"/>
      <c r="W178" s="92"/>
      <c r="X178" s="92"/>
    </row>
    <row r="179" spans="1:24" x14ac:dyDescent="0.2">
      <c r="A179" s="2"/>
      <c r="B179" s="2"/>
      <c r="V179" s="92"/>
      <c r="W179" s="92"/>
      <c r="X179" s="92"/>
    </row>
    <row r="180" spans="1:24" x14ac:dyDescent="0.2">
      <c r="V180" s="92"/>
      <c r="W180" s="92"/>
      <c r="X180" s="92"/>
    </row>
    <row r="181" spans="1:24" x14ac:dyDescent="0.2">
      <c r="V181" s="92"/>
      <c r="W181" s="92"/>
      <c r="X181" s="92"/>
    </row>
    <row r="182" spans="1:24" x14ac:dyDescent="0.2">
      <c r="V182" s="92"/>
      <c r="W182" s="92"/>
      <c r="X182" s="92"/>
    </row>
    <row r="183" spans="1:24" x14ac:dyDescent="0.2">
      <c r="V183" s="92"/>
      <c r="W183" s="92"/>
      <c r="X183" s="92"/>
    </row>
    <row r="184" spans="1:24" x14ac:dyDescent="0.2">
      <c r="V184" s="92"/>
      <c r="W184" s="92"/>
      <c r="X184" s="92"/>
    </row>
    <row r="185" spans="1:24" x14ac:dyDescent="0.2">
      <c r="V185" s="92"/>
      <c r="W185" s="92"/>
      <c r="X185" s="92"/>
    </row>
    <row r="186" spans="1:24" x14ac:dyDescent="0.2">
      <c r="V186" s="92"/>
      <c r="W186" s="92"/>
      <c r="X186" s="92"/>
    </row>
    <row r="187" spans="1:24" x14ac:dyDescent="0.2">
      <c r="V187" s="92"/>
      <c r="W187" s="92"/>
      <c r="X187" s="92"/>
    </row>
    <row r="188" spans="1:24" x14ac:dyDescent="0.2">
      <c r="V188" s="92"/>
      <c r="W188" s="92"/>
      <c r="X188" s="92"/>
    </row>
    <row r="189" spans="1:24" x14ac:dyDescent="0.2">
      <c r="V189" s="92"/>
      <c r="W189" s="92"/>
      <c r="X189" s="92"/>
    </row>
    <row r="190" spans="1:24" x14ac:dyDescent="0.2">
      <c r="V190" s="92"/>
      <c r="W190" s="92"/>
      <c r="X190" s="92"/>
    </row>
    <row r="191" spans="1:24" x14ac:dyDescent="0.2">
      <c r="V191" s="92"/>
      <c r="W191" s="92"/>
      <c r="X191" s="92"/>
    </row>
    <row r="192" spans="1:24" x14ac:dyDescent="0.2">
      <c r="V192" s="92"/>
      <c r="W192" s="92"/>
      <c r="X192" s="92"/>
    </row>
    <row r="193" spans="22:24" x14ac:dyDescent="0.2">
      <c r="V193" s="92"/>
      <c r="W193" s="92"/>
      <c r="X193" s="92"/>
    </row>
    <row r="194" spans="22:24" x14ac:dyDescent="0.2">
      <c r="V194" s="92"/>
      <c r="W194" s="92"/>
      <c r="X194" s="92"/>
    </row>
    <row r="195" spans="22:24" x14ac:dyDescent="0.2">
      <c r="V195" s="92"/>
      <c r="W195" s="92"/>
      <c r="X195" s="92"/>
    </row>
    <row r="196" spans="22:24" x14ac:dyDescent="0.2">
      <c r="V196" s="92"/>
      <c r="W196" s="92"/>
      <c r="X196" s="92"/>
    </row>
    <row r="197" spans="22:24" x14ac:dyDescent="0.2">
      <c r="V197" s="92"/>
      <c r="W197" s="92"/>
      <c r="X197" s="92"/>
    </row>
    <row r="198" spans="22:24" x14ac:dyDescent="0.2">
      <c r="V198" s="92"/>
      <c r="W198" s="92"/>
      <c r="X198" s="92"/>
    </row>
    <row r="199" spans="22:24" x14ac:dyDescent="0.2">
      <c r="V199" s="92"/>
      <c r="W199" s="92"/>
      <c r="X199" s="92"/>
    </row>
    <row r="200" spans="22:24" x14ac:dyDescent="0.2">
      <c r="V200" s="92"/>
      <c r="W200" s="92"/>
      <c r="X200" s="92"/>
    </row>
    <row r="201" spans="22:24" x14ac:dyDescent="0.2">
      <c r="V201" s="92"/>
      <c r="W201" s="92"/>
      <c r="X201" s="92"/>
    </row>
    <row r="202" spans="22:24" x14ac:dyDescent="0.2">
      <c r="V202" s="92"/>
      <c r="W202" s="92"/>
      <c r="X202" s="92"/>
    </row>
    <row r="203" spans="22:24" x14ac:dyDescent="0.2">
      <c r="V203" s="92"/>
      <c r="W203" s="92"/>
      <c r="X203" s="92"/>
    </row>
    <row r="204" spans="22:24" x14ac:dyDescent="0.2">
      <c r="V204" s="92"/>
      <c r="W204" s="92"/>
      <c r="X204" s="92"/>
    </row>
    <row r="205" spans="22:24" x14ac:dyDescent="0.2">
      <c r="V205" s="92"/>
      <c r="W205" s="92"/>
      <c r="X205" s="92"/>
    </row>
    <row r="206" spans="22:24" x14ac:dyDescent="0.2">
      <c r="V206" s="92"/>
      <c r="W206" s="92"/>
      <c r="X206" s="92"/>
    </row>
    <row r="207" spans="22:24" x14ac:dyDescent="0.2">
      <c r="V207" s="92"/>
      <c r="W207" s="92"/>
      <c r="X207" s="92"/>
    </row>
    <row r="208" spans="22:24" x14ac:dyDescent="0.2">
      <c r="V208" s="92"/>
      <c r="W208" s="92"/>
      <c r="X208" s="92"/>
    </row>
    <row r="209" spans="22:24" x14ac:dyDescent="0.2">
      <c r="V209" s="92"/>
      <c r="W209" s="92"/>
      <c r="X209" s="92"/>
    </row>
    <row r="210" spans="22:24" x14ac:dyDescent="0.2">
      <c r="V210" s="92"/>
      <c r="W210" s="92"/>
      <c r="X210" s="92"/>
    </row>
    <row r="211" spans="22:24" x14ac:dyDescent="0.2">
      <c r="V211" s="92"/>
      <c r="W211" s="92"/>
      <c r="X211" s="92"/>
    </row>
    <row r="212" spans="22:24" x14ac:dyDescent="0.2">
      <c r="V212" s="92"/>
      <c r="W212" s="92"/>
      <c r="X212" s="92"/>
    </row>
    <row r="213" spans="22:24" x14ac:dyDescent="0.2">
      <c r="V213" s="92"/>
      <c r="W213" s="92"/>
      <c r="X213" s="92"/>
    </row>
    <row r="214" spans="22:24" x14ac:dyDescent="0.2">
      <c r="V214" s="92"/>
      <c r="W214" s="92"/>
      <c r="X214" s="92"/>
    </row>
    <row r="215" spans="22:24" x14ac:dyDescent="0.2">
      <c r="V215" s="92"/>
      <c r="W215" s="92"/>
      <c r="X215" s="92"/>
    </row>
  </sheetData>
  <mergeCells count="26">
    <mergeCell ref="H123:I123"/>
    <mergeCell ref="H124:I124"/>
    <mergeCell ref="H125:I125"/>
    <mergeCell ref="H126:I126"/>
    <mergeCell ref="H127:I127"/>
    <mergeCell ref="E123:F123"/>
    <mergeCell ref="E124:F124"/>
    <mergeCell ref="E125:F125"/>
    <mergeCell ref="E126:F126"/>
    <mergeCell ref="E127:F127"/>
    <mergeCell ref="J123:K123"/>
    <mergeCell ref="J124:K124"/>
    <mergeCell ref="J125:K125"/>
    <mergeCell ref="J126:K126"/>
    <mergeCell ref="J127:K127"/>
    <mergeCell ref="A14:K14"/>
    <mergeCell ref="A23:K23"/>
    <mergeCell ref="A74:H74"/>
    <mergeCell ref="A38:K38"/>
    <mergeCell ref="A73:K73"/>
    <mergeCell ref="A15:K15"/>
    <mergeCell ref="A111:H111"/>
    <mergeCell ref="A110:I110"/>
    <mergeCell ref="A39:H39"/>
    <mergeCell ref="A18:K18"/>
    <mergeCell ref="A107:K107"/>
  </mergeCells>
  <phoneticPr fontId="4" type="noConversion"/>
  <pageMargins left="0.75" right="0.75" top="1" bottom="1" header="0.5" footer="0.5"/>
  <pageSetup scale="65" orientation="portrait" r:id="rId1"/>
  <headerFooter alignWithMargins="0"/>
  <rowBreaks count="3" manualBreakCount="3">
    <brk id="33" max="9" man="1"/>
    <brk id="69" max="9" man="1"/>
    <brk id="127" max="9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SECTION71</vt:lpstr>
      <vt:lpstr>Sheet1</vt:lpstr>
      <vt:lpstr>SECTION71!Print_Area</vt:lpstr>
    </vt:vector>
  </TitlesOfParts>
  <Company>LDM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Sinah</cp:lastModifiedBy>
  <cp:lastPrinted>2012-10-10T11:39:45Z</cp:lastPrinted>
  <dcterms:created xsi:type="dcterms:W3CDTF">2004-08-02T09:28:01Z</dcterms:created>
  <dcterms:modified xsi:type="dcterms:W3CDTF">2012-10-10T13:25:15Z</dcterms:modified>
</cp:coreProperties>
</file>